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<sst xmlns="http://schemas.openxmlformats.org/spreadsheetml/2006/main" count="673" uniqueCount="463">
  <si>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</si>
  <si>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</si>
  <si>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</si>
  <si>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</si>
  <si>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</si>
  <si>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</si>
  <si>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</si>
  <si>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</si>
  <si>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</si>
  <si>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</si>
  <si>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</si>
  <si>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</si>
  <si>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</si>
  <si>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</si>
  <si>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</si>
  <si>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</si>
  <si>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</si>
  <si>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</si>
  <si>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</si>
  <si>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</si>
  <si>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</si>
  <si>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</si>
  <si>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</si>
  <si>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</si>
  <si>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</si>
  <si>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</si>
  <si>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</si>
  <si>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</si>
  <si>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</si>
  <si>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</si>
  <si>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</si>
  <si>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</si>
  <si>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</si>
  <si>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</si>
  <si>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</si>
  <si>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</si>
  <si>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</si>
  <si>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</si>
  <si>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</si>
  <si>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</si>
  <si>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</si>
  <si>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</si>
  <si>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</si>
  <si>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</si>
  <si>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</si>
  <si>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</si>
  <si>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</si>
  <si>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</si>
  <si>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</si>
  <si>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</si>
  <si>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</si>
  <si>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</si>
  <si>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</si>
  <si>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</si>
  <si>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</si>
  <si>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</si>
  <si>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</si>
  <si>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</si>
  <si>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</si>
  <si>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</si>
  <si>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</si>
  <si>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</si>
  <si>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</si>
  <si>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</si>
  <si>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</si>
  <si>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</si>
  <si>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</si>
  <si>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</si>
  <si>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</si>
  <si>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</si>
  <si>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</si>
  <si>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</si>
  <si>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</si>
  <si>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</si>
  <si>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</si>
  <si>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</si>
  <si>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</si>
  <si>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</si>
  <si>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</si>
  <si>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</si>
  <si>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</si>
  <si>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</si>
  <si>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</si>
  <si>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</si>
  <si>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</si>
  <si>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</si>
  <si>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</si>
  <si>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</si>
  <si>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</si>
  <si>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</si>
  <si>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</si>
  <si>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</si>
  <si>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</si>
  <si>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</si>
  <si>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</si>
  <si>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</si>
  <si>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</si>
  <si>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</si>
  <si>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</si>
  <si>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</si>
  <si>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</si>
  <si>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</si>
  <si>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</si>
  <si>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</si>
  <si>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</si>
  <si>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</si>
  <si>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</si>
  <si>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</si>
  <si>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</si>
  <si>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</si>
  <si>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</si>
  <si>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</si>
  <si>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</si>
  <si>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</si>
  <si>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</si>
  <si>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</si>
  <si>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</si>
  <si>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</si>
  <si>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</si>
  <si>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</si>
  <si>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</si>
  <si>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</si>
  <si>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</si>
  <si>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</si>
  <si>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</si>
  <si>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</si>
  <si>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</si>
  <si>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</si>
  <si>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</si>
  <si>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</si>
  <si>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</si>
  <si>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</si>
  <si>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</si>
  <si>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</si>
  <si>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</si>
  <si>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</si>
  <si>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</si>
  <si>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</si>
  <si>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</si>
  <si>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</si>
  <si>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</si>
  <si>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</si>
  <si>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</si>
  <si>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</si>
  <si>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</si>
  <si>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</si>
  <si>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</si>
  <si>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</si>
  <si>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</si>
  <si>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</si>
  <si>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</si>
  <si>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</si>
  <si>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</si>
  <si>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</si>
  <si>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</si>
  <si>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</si>
  <si>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</si>
  <si>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</si>
  <si>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</si>
  <si>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</si>
  <si>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</si>
  <si>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</si>
  <si>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</si>
  <si>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</si>
  <si>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</si>
  <si>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</si>
  <si>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</si>
  <si>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</si>
  <si>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</si>
  <si>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</si>
  <si>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</si>
  <si>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</si>
  <si>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</si>
  <si>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</si>
  <si>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</si>
  <si>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</si>
  <si>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</si>
  <si>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</si>
  <si>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</si>
  <si>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</si>
  <si>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</si>
  <si>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</si>
  <si>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</si>
  <si>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</si>
  <si>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</si>
  <si>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</si>
  <si>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</si>
  <si>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</si>
  <si>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</si>
  <si>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</si>
  <si>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</si>
  <si>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</si>
  <si>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</si>
  <si>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</si>
  <si>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</si>
  <si>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</si>
  <si>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</si>
  <si>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</si>
  <si>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</si>
  <si>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</si>
  <si>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</si>
  <si>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</si>
  <si>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</si>
  <si>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</si>
  <si>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</si>
  <si>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</si>
  <si>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</si>
  <si>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</si>
  <si>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</si>
  <si>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</si>
  <si>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</si>
  <si>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</si>
  <si>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</si>
  <si>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</si>
  <si>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</si>
  <si>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</si>
  <si>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</si>
  <si>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</si>
  <si>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</si>
  <si>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</si>
  <si>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</si>
  <si>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</si>
  <si>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</si>
  <si>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</si>
  <si>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</si>
  <si>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</si>
  <si>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</si>
  <si>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</si>
  <si>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</si>
  <si>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</si>
  <si>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</si>
  <si>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</si>
  <si>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</si>
  <si>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</si>
  <si>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</si>
  <si>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</si>
  <si>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</si>
  <si>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</si>
  <si>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</si>
  <si>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</si>
  <si>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</si>
  <si>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</si>
  <si>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</si>
  <si>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</si>
  <si>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</si>
  <si>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</si>
  <si>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</si>
  <si>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</si>
  <si>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</si>
  <si>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</si>
  <si>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</si>
  <si>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</si>
  <si>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</si>
  <si>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</si>
  <si>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</si>
  <si>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</si>
  <si>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</si>
  <si>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</si>
  <si>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</si>
  <si>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</si>
  <si>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</si>
  <si>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</si>
  <si>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</si>
  <si>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</si>
  <si>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</si>
  <si>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</si>
  <si>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</si>
  <si>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</si>
  <si>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</si>
  <si>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</si>
  <si>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</si>
  <si>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</si>
  <si>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</si>
  <si>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</si>
  <si>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</si>
  <si>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</si>
  <si>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</si>
  <si>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</si>
  <si>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</si>
  <si>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</si>
  <si>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</si>
  <si>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</si>
  <si>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</si>
  <si>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</si>
  <si>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</si>
  <si>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</si>
  <si>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</si>
  <si>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</si>
  <si>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</si>
  <si>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</si>
  <si>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</si>
  <si>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</si>
  <si>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</si>
  <si>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</si>
  <si>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</si>
  <si>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</si>
  <si>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</si>
  <si>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</si>
  <si>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</si>
  <si>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</si>
  <si>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</si>
  <si>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</si>
  <si>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</si>
  <si>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</si>
  <si>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</si>
  <si>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</si>
  <si>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</si>
  <si>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</si>
  <si>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</si>
  <si>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</si>
  <si>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</si>
  <si>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</si>
  <si>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</si>
  <si>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</si>
  <si>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</si>
  <si>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</si>
  <si>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</si>
  <si>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</si>
  <si>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</si>
  <si>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</si>
  <si>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</si>
  <si>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</si>
  <si>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</si>
  <si>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</si>
  <si>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</si>
  <si>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</si>
  <si>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</si>
  <si>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</si>
  <si>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</si>
  <si>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</si>
  <si>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</si>
  <si>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</si>
  <si>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</si>
  <si>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</si>
  <si>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</si>
  <si>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</si>
  <si>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</si>
  <si>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</si>
  <si>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</si>
  <si>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</si>
  <si>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</si>
  <si>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</si>
  <si>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</si>
  <si>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</si>
  <si>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</si>
  <si>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</si>
  <si>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</si>
  <si>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</si>
  <si>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</si>
  <si>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</si>
  <si>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</si>
  <si>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</si>
  <si>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</si>
  <si>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</si>
  <si>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</si>
  <si>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</si>
  <si>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</si>
  <si>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</si>
  <si>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</si>
  <si>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</si>
  <si>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</si>
  <si>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</si>
  <si>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</si>
  <si>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</si>
  <si>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</si>
  <si>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</si>
  <si>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</si>
  <si>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</si>
  <si>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</si>
  <si>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</si>
  <si>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</si>
  <si>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</si>
  <si>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</si>
  <si>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</si>
  <si>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</si>
  <si>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</si>
  <si>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</si>
  <si>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</si>
  <si>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</si>
  <si>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</si>
  <si>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</si>
  <si>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</si>
  <si>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</si>
  <si>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</si>
  <si>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</si>
  <si>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</si>
  <si>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</si>
  <si>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</si>
  <si>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</si>
  <si>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</si>
  <si>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</si>
  <si>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</si>
  <si>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</si>
  <si>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</si>
  <si>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</si>
  <si>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</si>
  <si>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</si>
  <si>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</si>
  <si>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</si>
  <si>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</si>
  <si>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</si>
  <si>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</si>
  <si>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</si>
  <si>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</si>
  <si>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</si>
  <si>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</si>
  <si>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</si>
  <si>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</si>
  <si>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</si>
  <si>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</si>
  <si>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</si>
  <si>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</si>
  <si>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</si>
  <si>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</si>
  <si>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</si>
  <si>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</si>
  <si>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</si>
  <si>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</si>
  <si>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</si>
  <si>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</si>
  <si>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</si>
  <si>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</si>
  <si>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</si>
  <si>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</si>
  <si>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</si>
  <si>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</si>
  <si>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</si>
  <si>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</si>
  <si>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</si>
  <si>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</si>
  <si>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</si>
  <si>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</si>
  <si>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</si>
  <si>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</si>
  <si>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</si>
  <si>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</si>
  <si>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</si>
  <si>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</si>
  <si>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</si>
  <si>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</si>
  <si>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</si>
  <si>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</si>
  <si>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</si>
  <si>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</si>
  <si>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</si>
  <si>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</si>
  <si>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</si>
  <si>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</si>
  <si>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</si>
  <si>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</si>
  <si>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</si>
  <si>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</si>
  <si>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</si>
  <si>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</si>
  <si>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</si>
  <si>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</si>
  <si>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</si>
  <si>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</si>
  <si>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</si>
  <si>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</si>
  <si>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</si>
  <si>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</si>
  <si>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Весела Караиванова- Начева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</si>
</sst>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4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32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0" fontId="69" fillId="33" borderId="0" xfId="57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79" fontId="24" fillId="32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208" fontId="190" fillId="55" borderId="0" xfId="63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206" fontId="191" fillId="48" borderId="43" xfId="65" applyNumberFormat="1" applyFont="1" applyFill="1" applyBorder="1" applyAlignment="1" applyProtection="1">
      <alignment horizontal="left"/>
      <protection/>
    </xf>
    <xf numFmtId="206" fontId="191" fillId="48" borderId="29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9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2" fillId="33" borderId="47" xfId="65" applyNumberFormat="1" applyFont="1" applyFill="1" applyBorder="1" applyAlignment="1" applyProtection="1">
      <alignment horizontal="center"/>
      <protection/>
    </xf>
    <xf numFmtId="38" fontId="192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2" fillId="33" borderId="49" xfId="65" applyNumberFormat="1" applyFont="1" applyFill="1" applyBorder="1" applyAlignment="1" applyProtection="1">
      <alignment horizontal="center"/>
      <protection/>
    </xf>
    <xf numFmtId="38" fontId="192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7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5" fontId="160" fillId="33" borderId="28" xfId="60" applyNumberFormat="1" applyFont="1" applyFill="1" applyBorder="1" applyAlignment="1" applyProtection="1">
      <alignment horizontal="center"/>
      <protection/>
    </xf>
    <xf numFmtId="185" fontId="160" fillId="33" borderId="43" xfId="60" applyNumberFormat="1" applyFont="1" applyFill="1" applyBorder="1" applyAlignment="1" applyProtection="1">
      <alignment horizontal="center"/>
      <protection/>
    </xf>
    <xf numFmtId="185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0" fontId="198" fillId="33" borderId="61" xfId="61" applyFont="1" applyFill="1" applyBorder="1" applyAlignment="1" applyProtection="1">
      <alignment horizontal="center"/>
      <protection/>
    </xf>
    <xf numFmtId="0" fontId="198" fillId="33" borderId="0" xfId="61" applyFont="1" applyFill="1" applyBorder="1" applyAlignment="1" applyProtection="1">
      <alignment horizontal="center"/>
      <protection/>
    </xf>
    <xf numFmtId="0" fontId="198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9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186" fontId="200" fillId="45" borderId="28" xfId="57" applyNumberFormat="1" applyFont="1" applyFill="1" applyBorder="1" applyAlignment="1" applyProtection="1">
      <alignment horizontal="center" vertical="center"/>
      <protection locked="0"/>
    </xf>
    <xf numFmtId="186" fontId="20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201" fillId="32" borderId="0" xfId="0" applyNumberFormat="1" applyFont="1" applyFill="1" applyAlignment="1" applyProtection="1">
      <alignment horizontal="center"/>
      <protection/>
    </xf>
    <xf numFmtId="207" fontId="201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200" fillId="45" borderId="28" xfId="57" applyNumberFormat="1" applyFont="1" applyFill="1" applyBorder="1" applyAlignment="1" applyProtection="1">
      <alignment horizontal="center" vertical="center"/>
      <protection/>
    </xf>
    <xf numFmtId="186" fontId="20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  <xf numFmtId="0" fontId="202" fillId="36" borderId="43" xfId="53" applyFont="1" applyFill="1" applyBorder="1" applyAlignment="1" applyProtection="1">
      <alignment horizontal="center" vertical="center"/>
      <protection/>
    </xf>
    <xf numFmtId="0" fontId="202" fillId="36" borderId="29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9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8" fillId="33" borderId="116" xfId="61" applyFont="1" applyFill="1" applyBorder="1" applyAlignment="1" applyProtection="1">
      <alignment horizontal="center"/>
      <protection/>
    </xf>
    <xf numFmtId="0" fontId="198" fillId="33" borderId="135" xfId="61" applyFont="1" applyFill="1" applyBorder="1" applyAlignment="1" applyProtection="1">
      <alignment horizontal="center"/>
      <protection/>
    </xf>
    <xf numFmtId="208" fontId="203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460</v>
      </c>
      <c r="C1" s="737"/>
      <c r="D1" s="737"/>
      <c r="E1" s="737"/>
      <c r="F1" s="738"/>
      <c r="G1" s="433" t="s">
        <v>244</v>
      </c>
      <c r="H1" s="426"/>
      <c r="I1" s="724">
        <v>121082521</v>
      </c>
      <c r="J1" s="725"/>
      <c r="K1" s="427"/>
      <c r="L1" s="435" t="s">
        <v>245</v>
      </c>
      <c r="M1" s="431"/>
      <c r="N1" s="427"/>
      <c r="O1" s="435" t="s">
        <v>239</v>
      </c>
      <c r="P1" s="452"/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/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НАЦИОНАЛЕН ОСИГУРИТЕЛЕН ИНСТИТУТ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364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40633645</v>
      </c>
      <c r="G15" s="229">
        <v>84806748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40633645</v>
      </c>
      <c r="P15" s="378">
        <f t="shared" si="0"/>
        <v>84806748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>
        <v>24</v>
      </c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24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2601720</v>
      </c>
      <c r="G22" s="231">
        <v>6959498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2601720</v>
      </c>
      <c r="P22" s="412">
        <f t="shared" si="0"/>
        <v>6959498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5</v>
      </c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5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8</v>
      </c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8</v>
      </c>
      <c r="P24" s="384">
        <f t="shared" si="0"/>
        <v>0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43235378</v>
      </c>
      <c r="G25" s="235">
        <f>+ROUND(+SUM(G15,G16,G18,G19,G20,G21,G22,G23,G24),0)</f>
        <v>91766270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43235378</v>
      </c>
      <c r="P25" s="363">
        <f>+ROUND(+SUM(P15,P16,P18,P19,P20,P21,P22,P23,P24),0)</f>
        <v>91766270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43235378</v>
      </c>
      <c r="G50" s="257">
        <f>+ROUND(G25+G30+G37+G42+G48,0)</f>
        <v>91766270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43235378</v>
      </c>
      <c r="P50" s="380">
        <f>+ROUND(P25+P30+P37+P42+P48,0)</f>
        <v>91766270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/>
      <c r="G53" s="259"/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0</v>
      </c>
      <c r="P53" s="359">
        <f t="shared" si="4"/>
        <v>0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14449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14449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/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0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/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0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/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0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0</v>
      </c>
      <c r="G58" s="261">
        <f>+ROUND(+SUM(G53:G57),0)</f>
        <v>14449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0</v>
      </c>
      <c r="P58" s="382">
        <f>+ROUND(+SUM(P53:P57),0)</f>
        <v>14449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31884250</v>
      </c>
      <c r="G71" s="259">
        <v>52854789</v>
      </c>
      <c r="H71" s="15"/>
      <c r="I71" s="260"/>
      <c r="J71" s="259"/>
      <c r="K71" s="227"/>
      <c r="L71" s="260"/>
      <c r="M71" s="259"/>
      <c r="N71" s="227"/>
      <c r="O71" s="366">
        <f>+ROUND(+F71+I71+L71,0)</f>
        <v>31884250</v>
      </c>
      <c r="P71" s="359">
        <f>+ROUND(+G71+J71+M71,0)</f>
        <v>52854789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31884250</v>
      </c>
      <c r="G73" s="261">
        <f>+ROUND(+SUM(G71:G72),0)</f>
        <v>52854789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31884250</v>
      </c>
      <c r="P73" s="382">
        <f>+ROUND(+SUM(P71:P72),0)</f>
        <v>52854789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31884250</v>
      </c>
      <c r="G79" s="272">
        <f>+ROUND(G58+G65+G69+G73+G77,0)</f>
        <v>52869238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31884250</v>
      </c>
      <c r="P79" s="392">
        <f>+ROUND(P58+P65+P69+P73+P77,0)</f>
        <v>52869238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0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0</v>
      </c>
      <c r="P83" s="387">
        <f>+ROUND(P81+P82,0)</f>
        <v>0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11351128</v>
      </c>
      <c r="G85" s="291">
        <f>+ROUND(G50,0)-ROUND(G79,0)+ROUND(G83,0)</f>
        <v>38897032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11351128</v>
      </c>
      <c r="P85" s="389">
        <f>+ROUND(P50,0)-ROUND(P79,0)+ROUND(P83,0)</f>
        <v>38897032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-11351128</v>
      </c>
      <c r="G86" s="293">
        <f>+ROUND(G103,0)+ROUND(G122,0)+ROUND(G129,0)-ROUND(G134,0)</f>
        <v>-38897032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-11351128</v>
      </c>
      <c r="P86" s="391">
        <f>+ROUND(P103,0)+ROUND(P122,0)+ROUND(P129,0)-ROUND(P134,0)</f>
        <v>-38897032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72246306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72246306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72246306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72246306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72246306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72246306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-561452</v>
      </c>
      <c r="G125" s="233">
        <v>-879833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-561452</v>
      </c>
      <c r="P125" s="384">
        <f t="shared" si="7"/>
        <v>-879833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-160188</v>
      </c>
      <c r="G126" s="233">
        <v>719744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-160188</v>
      </c>
      <c r="P126" s="384">
        <f t="shared" si="7"/>
        <v>719744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-721640</v>
      </c>
      <c r="G129" s="270">
        <f>+ROUND(+SUM(G124,G125,G126,G128),0)</f>
        <v>-160089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-721640</v>
      </c>
      <c r="P129" s="387">
        <f>+ROUND(+SUM(P124,P125,P126,P128),0)</f>
        <v>-160089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410285780</v>
      </c>
      <c r="G131" s="229">
        <v>299302531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410285780</v>
      </c>
      <c r="P131" s="378">
        <f t="shared" si="8"/>
        <v>299302531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420915268</v>
      </c>
      <c r="G133" s="233">
        <v>410285780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420915268</v>
      </c>
      <c r="P133" s="384">
        <f t="shared" si="8"/>
        <v>410285780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10629488</v>
      </c>
      <c r="G134" s="275">
        <f>+ROUND(+G133-G131-G132,0)</f>
        <v>110983249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10629488</v>
      </c>
      <c r="P134" s="395">
        <f>+ROUND(+P133-P131-P132,0)</f>
        <v>110983249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10629488</v>
      </c>
      <c r="G142" s="539">
        <f>+G134+G140</f>
        <v>110983249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0</v>
      </c>
      <c r="N142" s="227"/>
      <c r="O142" s="394">
        <f>+O134+O140</f>
        <v>10629488</v>
      </c>
      <c r="P142" s="395">
        <f>+P134+P140</f>
        <v>110983249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5082022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461</v>
      </c>
      <c r="G148" s="722"/>
      <c r="H148" s="722"/>
      <c r="I148" s="723"/>
      <c r="J148" s="346"/>
      <c r="K148" s="16"/>
      <c r="L148" s="346" t="s">
        <v>234</v>
      </c>
      <c r="M148" s="721" t="s">
        <v>462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420915268</v>
      </c>
      <c r="G160" s="580">
        <f>+G133+G139</f>
        <v>410285780</v>
      </c>
      <c r="I160" s="579">
        <f>+I133+I139</f>
        <v>0</v>
      </c>
      <c r="J160" s="580">
        <f>+J133+J139</f>
        <v>0</v>
      </c>
      <c r="K160" s="227"/>
      <c r="L160" s="579">
        <f>+L133+L139</f>
        <v>0</v>
      </c>
      <c r="M160" s="580">
        <f>+M133+M139</f>
        <v>0</v>
      </c>
      <c r="N160" s="227"/>
      <c r="O160" s="583">
        <f>+ROUND(+F160+I160+L160,0)</f>
        <v>420915268</v>
      </c>
      <c r="P160" s="584">
        <f>+ROUND(+G160+J160+M160,0)</f>
        <v>410285780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234">
        <v>420915268</v>
      </c>
      <c r="G161" s="577">
        <v>410285780</v>
      </c>
      <c r="I161" s="576"/>
      <c r="J161" s="577"/>
      <c r="K161" s="227"/>
      <c r="L161" s="576"/>
      <c r="M161" s="577"/>
      <c r="N161" s="227"/>
      <c r="O161" s="585">
        <f>+ROUND(+F161+I161+L161,0)</f>
        <v>420915268</v>
      </c>
      <c r="P161" s="586">
        <f>+ROUND(+G161+J161+M161,0)</f>
        <v>410285780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" sqref="F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НАЦИОНАЛЕН ОСИГУРИТЕЛЕН ИНСТИТУТ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121082521</v>
      </c>
      <c r="J1" s="823"/>
      <c r="K1" s="439"/>
      <c r="L1" s="440" t="s">
        <v>245</v>
      </c>
      <c r="M1" s="441">
        <f>+'Cash-Flow-2022-Leva'!M1</f>
        <v>0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>
        <f>+'Cash-Flow-2022-Leva'!M3:P3</f>
        <v>0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НАЦИОНАЛЕН ОСИГУРИТЕЛЕН ИНСТИТУТ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40633.645</v>
      </c>
      <c r="G15" s="255">
        <f>+'Cash-Flow-2022-Leva'!G15/1000</f>
        <v>84806.748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40633.645</v>
      </c>
      <c r="P15" s="378">
        <f aca="true" t="shared" si="1" ref="P15:P24">+G15+J15+M15</f>
        <v>84806.748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</v>
      </c>
      <c r="G18" s="255">
        <f>+'Cash-Flow-2022-Leva'!G18/1000</f>
        <v>0.024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</v>
      </c>
      <c r="P18" s="378">
        <f t="shared" si="1"/>
        <v>0.024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2601.72</v>
      </c>
      <c r="G22" s="278">
        <f>+'Cash-Flow-2022-Leva'!G22/1000</f>
        <v>6959.498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2601.72</v>
      </c>
      <c r="P22" s="412">
        <f t="shared" si="1"/>
        <v>6959.498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0.005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0.005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0.008</v>
      </c>
      <c r="G24" s="267">
        <f>+'Cash-Flow-2022-Leva'!G24/1000</f>
        <v>0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0.008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43235.378</v>
      </c>
      <c r="G25" s="235">
        <f>+SUM(G15,G16,G18,G19,G20,G21,G22,G23,G24)</f>
        <v>91766.27000000002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43235.378</v>
      </c>
      <c r="P25" s="363">
        <f>+SUM(P15,P16,P18,P19,P20,P21,P22,P23,P24)</f>
        <v>91766.27000000002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0</v>
      </c>
      <c r="G37" s="235">
        <f>+'Cash-Flow-2022-Leva'!G37/1000</f>
        <v>0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0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43235.378</v>
      </c>
      <c r="G50" s="257">
        <f>+G25+G30+G37+G42+G48</f>
        <v>91766.27000000002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43235.378</v>
      </c>
      <c r="P50" s="380">
        <f>+P25+P30+P37+P42+P48</f>
        <v>91766.27000000002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0</v>
      </c>
      <c r="G53" s="228">
        <f>+'Cash-Flow-2022-Leva'!G53/1000</f>
        <v>0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0</v>
      </c>
      <c r="P53" s="359">
        <f t="shared" si="5"/>
        <v>0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</v>
      </c>
      <c r="G54" s="267">
        <f>+'Cash-Flow-2022-Leva'!G54/1000</f>
        <v>14.449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</v>
      </c>
      <c r="P54" s="384">
        <f t="shared" si="5"/>
        <v>14.449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</v>
      </c>
      <c r="G55" s="267">
        <f>+'Cash-Flow-2022-Leva'!G55/1000</f>
        <v>0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</v>
      </c>
      <c r="P55" s="384">
        <f t="shared" si="5"/>
        <v>0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0</v>
      </c>
      <c r="G56" s="267">
        <f>+'Cash-Flow-2022-Leva'!G56/1000</f>
        <v>0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0</v>
      </c>
      <c r="P56" s="384">
        <f t="shared" si="5"/>
        <v>0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0</v>
      </c>
      <c r="G57" s="267">
        <f>+'Cash-Flow-2022-Leva'!G57/1000</f>
        <v>0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0</v>
      </c>
      <c r="P57" s="384">
        <f t="shared" si="5"/>
        <v>0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0</v>
      </c>
      <c r="G58" s="261">
        <f>+SUM(G53:G57)</f>
        <v>14.449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0</v>
      </c>
      <c r="P58" s="382">
        <f>+SUM(P53:P57)</f>
        <v>14.449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0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0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31884.25</v>
      </c>
      <c r="G71" s="228">
        <f>+'Cash-Flow-2022-Leva'!G71/1000</f>
        <v>52854.789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31884.25</v>
      </c>
      <c r="P71" s="359">
        <f>+G71+J71+M71</f>
        <v>52854.789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31884.25</v>
      </c>
      <c r="G73" s="261">
        <f>+SUM(G71:G72)</f>
        <v>52854.789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31884.25</v>
      </c>
      <c r="P73" s="382">
        <f>+SUM(P71:P72)</f>
        <v>52854.789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31884.25</v>
      </c>
      <c r="G79" s="272">
        <f>+G58+G65+G69+G73+G77</f>
        <v>52869.238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31884.25</v>
      </c>
      <c r="P79" s="392">
        <f>+P58+P65+P69+P73+P77</f>
        <v>52869.238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0</v>
      </c>
      <c r="G81" s="255">
        <f>+'Cash-Flow-2022-Leva'!G81/1000</f>
        <v>0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0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0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11351.127999999997</v>
      </c>
      <c r="G85" s="291">
        <f>+G50-G79+G83</f>
        <v>38897.03200000002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11351.127999999997</v>
      </c>
      <c r="P85" s="389">
        <f>+P50-P79+P83</f>
        <v>38897.03200000002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-11351.127999999953</v>
      </c>
      <c r="G86" s="293">
        <f>+G103+G122+G129-G134</f>
        <v>-38897.03200000001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-11351.127999999953</v>
      </c>
      <c r="P86" s="391">
        <f>+P103+P122+P129-P134</f>
        <v>-38897.03200000001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72246.306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72246.306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72246.306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72246.306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72246.306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72246.306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</v>
      </c>
      <c r="N118" s="465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5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5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-561.452</v>
      </c>
      <c r="G125" s="267">
        <f>+'Cash-Flow-2022-Leva'!G125/1000</f>
        <v>-879.833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-561.452</v>
      </c>
      <c r="P125" s="384">
        <f t="shared" si="8"/>
        <v>-879.833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-160.188</v>
      </c>
      <c r="G126" s="267">
        <f>+'Cash-Flow-2022-Leva'!G126/1000</f>
        <v>719.744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-160.188</v>
      </c>
      <c r="P126" s="384">
        <f t="shared" si="8"/>
        <v>719.744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-721.64</v>
      </c>
      <c r="G129" s="270">
        <f>+SUM(G124,G125,G126,G128)</f>
        <v>-160.08899999999994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-721.64</v>
      </c>
      <c r="P129" s="387">
        <f>+SUM(P124,P125,P126,P128)</f>
        <v>-160.08899999999994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410285.78</v>
      </c>
      <c r="G131" s="255">
        <f>+'Cash-Flow-2022-Leva'!G131/1000</f>
        <v>299302.531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0</v>
      </c>
      <c r="N131" s="465"/>
      <c r="O131" s="365">
        <f aca="true" t="shared" si="9" ref="O131:P133">+F131+I131+L131</f>
        <v>410285.78</v>
      </c>
      <c r="P131" s="378">
        <f t="shared" si="9"/>
        <v>299302.531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420915.268</v>
      </c>
      <c r="G133" s="267">
        <f>+'Cash-Flow-2022-Leva'!G133/1000</f>
        <v>410285.78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0</v>
      </c>
      <c r="M133" s="267">
        <f>+'Cash-Flow-2022-Leva'!M133/1000</f>
        <v>0</v>
      </c>
      <c r="N133" s="465"/>
      <c r="O133" s="361">
        <f t="shared" si="9"/>
        <v>420915.268</v>
      </c>
      <c r="P133" s="384">
        <f t="shared" si="9"/>
        <v>410285.78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10629.487999999954</v>
      </c>
      <c r="G134" s="275">
        <f>+G133-G131-G132</f>
        <v>110983.24900000001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5"/>
      <c r="O134" s="394">
        <f>+O133-O131-O132</f>
        <v>10629.487999999954</v>
      </c>
      <c r="P134" s="395">
        <f>+P133-P131-P132</f>
        <v>110983.24900000001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10629.487999999954</v>
      </c>
      <c r="G142" s="275">
        <f>+G134+G140</f>
        <v>110983.24900000001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</v>
      </c>
      <c r="N142" s="465"/>
      <c r="O142" s="563">
        <f>+O134+O140</f>
        <v>10629.487999999954</v>
      </c>
      <c r="P142" s="564">
        <f>+P134+P140</f>
        <v>110983.24900000001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5082022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2022-08-03T11:59:23Z</dcterms:modified>
  <cp:category/>
  <cp:version/>
  <cp:contentType/>
  <cp:contentStatus/>
</cp:coreProperties>
</file>