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45" windowHeight="9045" activeTab="2"/>
  </bookViews>
  <sheets>
    <sheet name="Guidelines" sheetId="1" r:id="rId1"/>
    <sheet name="Cash-Flow-2022-Leva" sheetId="2" r:id="rId2"/>
    <sheet name="Cash-Flow-2022" sheetId="3" r:id="rId3"/>
  </sheets>
  <definedNames>
    <definedName name="_xlfn.SINGLE" hidden="1">#NAME?</definedName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<sst xmlns="http://schemas.openxmlformats.org/spreadsheetml/2006/main" count="677" uniqueCount="467">
  <si>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</si>
  <si>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</si>
  <si>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</si>
  <si>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</si>
  <si>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</si>
  <si>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</si>
  <si>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</si>
  <si>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</si>
  <si>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</si>
  <si>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</si>
  <si>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</si>
  <si>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</si>
  <si>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</si>
  <si>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</si>
  <si>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</si>
  <si>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</si>
  <si>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</si>
  <si>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</si>
  <si>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</si>
  <si>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</si>
  <si>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</si>
  <si>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</si>
  <si>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</si>
  <si>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</si>
  <si>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</si>
  <si>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</si>
  <si>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</si>
  <si>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</si>
  <si>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</si>
  <si>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</si>
  <si>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</si>
  <si>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</si>
  <si>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</si>
  <si>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</si>
  <si>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</si>
  <si>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</si>
  <si>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</si>
  <si>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</si>
  <si>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</si>
  <si>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</si>
  <si>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</si>
  <si>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</si>
  <si>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</si>
  <si>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</si>
  <si>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</si>
  <si>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</si>
  <si>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</si>
  <si>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</si>
  <si>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</si>
  <si>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</si>
  <si>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</si>
  <si>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</si>
  <si>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</si>
  <si>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</si>
  <si>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</si>
  <si>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</si>
  <si>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</si>
  <si>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</si>
  <si>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</si>
  <si>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</si>
  <si>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</si>
  <si>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</si>
  <si>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</si>
  <si>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</si>
  <si>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</si>
  <si>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</si>
  <si>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</si>
  <si>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</si>
  <si>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</si>
  <si>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</si>
  <si>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</si>
  <si>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</si>
  <si>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</si>
  <si>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</si>
  <si>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</si>
  <si>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</si>
  <si>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</si>
  <si>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</si>
  <si>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</si>
  <si>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</si>
  <si>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</si>
  <si>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</si>
  <si>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</si>
  <si>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</si>
  <si>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</si>
  <si>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</si>
  <si>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</si>
  <si>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</si>
  <si>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</si>
  <si>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</si>
  <si>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</si>
  <si>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</si>
  <si>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</si>
  <si>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</si>
  <si>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</si>
  <si>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</si>
  <si>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</si>
  <si>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</si>
  <si>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</si>
  <si>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</si>
  <si>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</si>
  <si>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</si>
  <si>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</si>
  <si>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</si>
  <si>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</si>
  <si>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</si>
  <si>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</si>
  <si>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</si>
  <si>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</si>
  <si>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</si>
  <si>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</si>
  <si>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</si>
  <si>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</si>
  <si>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</si>
  <si>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</si>
  <si>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</si>
  <si>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</si>
  <si>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</si>
  <si>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</si>
  <si>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</si>
  <si>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</si>
  <si>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</si>
  <si>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</si>
  <si>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</si>
  <si>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</si>
  <si>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</si>
  <si>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</si>
  <si>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</si>
  <si>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</si>
  <si>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</si>
  <si>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</si>
  <si>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</si>
  <si>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</si>
  <si>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</si>
  <si>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</si>
  <si>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</si>
  <si>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</si>
  <si>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</si>
  <si>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</si>
  <si>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</si>
  <si>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</si>
  <si>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</si>
  <si>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</si>
  <si>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</si>
  <si>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</si>
  <si>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</si>
  <si>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</si>
  <si>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</si>
  <si>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</si>
  <si>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</si>
  <si>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</si>
  <si>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</si>
  <si>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</si>
  <si>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</si>
  <si>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</si>
  <si>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</si>
  <si>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</si>
  <si>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</si>
  <si>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</si>
  <si>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</si>
  <si>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</si>
  <si>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</si>
  <si>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</si>
  <si>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</si>
  <si>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</si>
  <si>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</si>
  <si>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</si>
  <si>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</si>
  <si>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</si>
  <si>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</si>
  <si>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</si>
  <si>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</si>
  <si>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</si>
  <si>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</si>
  <si>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</si>
  <si>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</si>
  <si>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</si>
  <si>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</si>
  <si>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</si>
  <si>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</si>
  <si>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</si>
  <si>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</si>
  <si>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</si>
  <si>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</si>
  <si>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</si>
  <si>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</si>
  <si>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</si>
  <si>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</si>
  <si>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</si>
  <si>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</si>
  <si>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</si>
  <si>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</si>
  <si>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</si>
  <si>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</si>
  <si>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</si>
  <si>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</si>
  <si>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</si>
  <si>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</si>
  <si>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</si>
  <si>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</si>
  <si>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</si>
  <si>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</si>
  <si>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</si>
  <si>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</si>
  <si>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</si>
  <si>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</si>
  <si>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</si>
  <si>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</si>
  <si>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</si>
  <si>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</si>
  <si>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</si>
  <si>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</si>
  <si>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</si>
  <si>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</si>
  <si>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</si>
  <si>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</si>
  <si>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</si>
  <si>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</si>
  <si>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</si>
  <si>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</si>
  <si>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</si>
  <si>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</si>
  <si>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</si>
  <si>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</si>
  <si>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</si>
  <si>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</si>
  <si>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</si>
  <si>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</si>
  <si>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</si>
  <si>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</si>
  <si>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</si>
  <si>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</si>
  <si>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</si>
  <si>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</si>
  <si>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</si>
  <si>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</si>
  <si>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</si>
  <si>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</si>
  <si>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</si>
  <si>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</si>
  <si>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</si>
  <si>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</si>
  <si>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</si>
  <si>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</si>
  <si>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</si>
  <si>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</si>
  <si>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</si>
  <si>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</si>
  <si>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</si>
  <si>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</si>
  <si>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</si>
  <si>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</si>
  <si>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</si>
  <si>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</si>
  <si>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</si>
  <si>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</si>
  <si>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</si>
  <si>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</si>
  <si>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</si>
  <si>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</si>
  <si>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</si>
  <si>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</si>
  <si>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</si>
  <si>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</si>
  <si>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</si>
  <si>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</si>
  <si>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</si>
  <si>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</si>
  <si>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</si>
  <si>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</si>
  <si>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</si>
  <si>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</si>
  <si>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</si>
  <si>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</si>
  <si>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</si>
  <si>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</si>
  <si>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</si>
  <si>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</si>
  <si>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</si>
  <si>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</si>
  <si>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</si>
  <si>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</si>
  <si>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</si>
  <si>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</si>
  <si>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</si>
  <si>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</si>
  <si>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</si>
  <si>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</si>
  <si>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</si>
  <si>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</si>
  <si>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</si>
  <si>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</si>
  <si>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</si>
  <si>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</si>
  <si>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</si>
  <si>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</si>
  <si>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</si>
  <si>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</si>
  <si>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</si>
  <si>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</si>
  <si>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</si>
  <si>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</si>
  <si>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</si>
  <si>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</si>
  <si>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</si>
  <si>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</si>
  <si>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</si>
  <si>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</si>
  <si>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</si>
  <si>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</si>
  <si>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</si>
  <si>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</si>
  <si>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</si>
  <si>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</si>
  <si>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</si>
  <si>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</si>
  <si>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</si>
  <si>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</si>
  <si>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</si>
  <si>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</si>
  <si>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</si>
  <si>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</si>
  <si>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</si>
  <si>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</si>
  <si>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</si>
  <si>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</si>
  <si>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</si>
  <si>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</si>
  <si>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</si>
  <si>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</si>
  <si>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</si>
  <si>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</si>
  <si>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</si>
  <si>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</si>
  <si>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</si>
  <si>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</si>
  <si>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</si>
  <si>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</si>
  <si>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</si>
  <si>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</si>
  <si>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</si>
  <si>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</si>
  <si>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</si>
  <si>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</si>
  <si>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</si>
  <si>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</si>
  <si>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</si>
  <si>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</si>
  <si>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</si>
  <si>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</si>
  <si>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</si>
  <si>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</si>
  <si>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</si>
  <si>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</si>
  <si>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</si>
  <si>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</si>
  <si>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</si>
  <si>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</si>
  <si>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</si>
  <si>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</si>
  <si>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</si>
  <si>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</si>
  <si>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</si>
  <si>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</si>
  <si>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</si>
  <si>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</si>
  <si>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</si>
  <si>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</si>
  <si>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</si>
  <si>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</si>
  <si>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</si>
  <si>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</si>
  <si>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</si>
  <si>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</si>
  <si>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</si>
  <si>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</si>
  <si>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</si>
  <si>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</si>
  <si>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</si>
  <si>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</si>
  <si>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</si>
  <si>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</si>
  <si>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</si>
  <si>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</si>
  <si>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</si>
  <si>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</si>
  <si>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</si>
  <si>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</si>
  <si>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</si>
  <si>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</si>
  <si>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</si>
  <si>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</si>
  <si>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</si>
  <si>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</si>
  <si>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</si>
  <si>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</si>
  <si>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</si>
  <si>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</si>
  <si>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</si>
  <si>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</si>
  <si>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</si>
  <si>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</si>
  <si>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</si>
  <si>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</si>
  <si>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</si>
  <si>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</si>
  <si>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</si>
  <si>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</si>
  <si>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</si>
  <si>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</si>
  <si>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</si>
  <si>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</si>
  <si>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</si>
  <si>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</si>
  <si>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</si>
  <si>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</si>
  <si>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</si>
  <si>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</si>
  <si>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</si>
  <si>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</si>
  <si>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</si>
  <si>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</si>
  <si>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</si>
  <si>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</si>
  <si>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</si>
  <si>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</si>
  <si>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</si>
  <si>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</si>
  <si>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</si>
  <si>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</si>
  <si>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</si>
  <si>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</si>
  <si>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</si>
  <si>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</si>
  <si>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</si>
  <si>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</si>
  <si>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</si>
  <si>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</si>
  <si>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</si>
  <si>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</si>
  <si>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</si>
  <si>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</si>
  <si>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</si>
  <si>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</si>
  <si>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</si>
  <si>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</si>
  <si>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</si>
  <si>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</si>
  <si>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</si>
  <si>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</si>
  <si>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</si>
  <si>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</si>
  <si>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</si>
  <si>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</si>
  <si>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</si>
  <si>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</si>
  <si>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</si>
  <si>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</si>
  <si>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</si>
  <si>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</si>
  <si>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ИВАИЛО ИВАНОВ</t>
  </si>
  <si>
    <t>ДИМИТЪР НЕДЯЛКОВ</t>
  </si>
  <si>
    <t>121 08 25 21</t>
  </si>
  <si>
    <t>НАЦИОНАЛЕН ОСИГУРИТЕЛЕН ИНСТИТУТ-ДОО</t>
  </si>
  <si>
    <t>02 926 13 27</t>
  </si>
  <si>
    <t>Dimitar.Nedyalkov@nssi.bg</t>
  </si>
  <si>
    <t>www.nssi.bg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</si>
</sst>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76" fontId="155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5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9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4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2" fillId="33" borderId="27" xfId="0" applyNumberFormat="1" applyFont="1" applyFill="1" applyBorder="1" applyAlignment="1" applyProtection="1">
      <alignment horizontal="center"/>
      <protection locked="0"/>
    </xf>
    <xf numFmtId="185" fontId="162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3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4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4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4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4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4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4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4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4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6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9" fillId="39" borderId="102" xfId="0" applyNumberFormat="1" applyFont="1" applyFill="1" applyBorder="1" applyAlignment="1" applyProtection="1" quotePrefix="1">
      <alignment horizontal="center"/>
      <protection/>
    </xf>
    <xf numFmtId="193" fontId="165" fillId="41" borderId="102" xfId="0" applyNumberFormat="1" applyFont="1" applyFill="1" applyBorder="1" applyAlignment="1" applyProtection="1" quotePrefix="1">
      <alignment horizontal="center"/>
      <protection/>
    </xf>
    <xf numFmtId="193" fontId="166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7" fillId="38" borderId="104" xfId="0" applyNumberFormat="1" applyFont="1" applyFill="1" applyBorder="1" applyAlignment="1" applyProtection="1">
      <alignment horizontal="center"/>
      <protection/>
    </xf>
    <xf numFmtId="184" fontId="167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6" fontId="168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4" fillId="43" borderId="108" xfId="0" applyNumberFormat="1" applyFont="1" applyFill="1" applyBorder="1" applyAlignment="1" applyProtection="1">
      <alignment/>
      <protection/>
    </xf>
    <xf numFmtId="186" fontId="34" fillId="43" borderId="92" xfId="0" applyNumberFormat="1" applyFont="1" applyFill="1" applyBorder="1" applyAlignment="1" applyProtection="1">
      <alignment/>
      <protection/>
    </xf>
    <xf numFmtId="186" fontId="34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4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76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4" fontId="58" fillId="50" borderId="27" xfId="64" applyNumberFormat="1" applyFont="1" applyFill="1" applyBorder="1" applyAlignment="1" applyProtection="1">
      <alignment horizontal="center" vertical="center"/>
      <protection locked="0"/>
    </xf>
    <xf numFmtId="176" fontId="153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82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3" fillId="33" borderId="27" xfId="64" applyNumberFormat="1" applyFont="1" applyFill="1" applyBorder="1" applyAlignment="1" applyProtection="1">
      <alignment horizontal="center" vertical="center"/>
      <protection/>
    </xf>
    <xf numFmtId="174" fontId="174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5" fillId="33" borderId="71" xfId="0" applyNumberFormat="1" applyFont="1" applyFill="1" applyBorder="1" applyAlignment="1" applyProtection="1" quotePrefix="1">
      <alignment/>
      <protection/>
    </xf>
    <xf numFmtId="176" fontId="176" fillId="33" borderId="71" xfId="0" applyNumberFormat="1" applyFont="1" applyFill="1" applyBorder="1" applyAlignment="1" applyProtection="1" quotePrefix="1">
      <alignment/>
      <protection/>
    </xf>
    <xf numFmtId="176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5" fillId="33" borderId="116" xfId="0" applyNumberFormat="1" applyFont="1" applyFill="1" applyBorder="1" applyAlignment="1" applyProtection="1" quotePrefix="1">
      <alignment/>
      <protection/>
    </xf>
    <xf numFmtId="176" fontId="175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5" fillId="32" borderId="116" xfId="0" applyNumberFormat="1" applyFont="1" applyFill="1" applyBorder="1" applyAlignment="1" applyProtection="1" quotePrefix="1">
      <alignment/>
      <protection/>
    </xf>
    <xf numFmtId="176" fontId="176" fillId="32" borderId="32" xfId="0" applyNumberFormat="1" applyFont="1" applyFill="1" applyBorder="1" applyAlignment="1" applyProtection="1" quotePrefix="1">
      <alignment/>
      <protection/>
    </xf>
    <xf numFmtId="176" fontId="175" fillId="33" borderId="86" xfId="0" applyNumberFormat="1" applyFont="1" applyFill="1" applyBorder="1" applyAlignment="1" applyProtection="1" quotePrefix="1">
      <alignment/>
      <protection/>
    </xf>
    <xf numFmtId="176" fontId="176" fillId="33" borderId="87" xfId="0" applyNumberFormat="1" applyFont="1" applyFill="1" applyBorder="1" applyAlignment="1" applyProtection="1" quotePrefix="1">
      <alignment/>
      <protection/>
    </xf>
    <xf numFmtId="176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4" fontId="39" fillId="51" borderId="118" xfId="0" applyNumberFormat="1" applyFont="1" applyFill="1" applyBorder="1" applyAlignment="1" applyProtection="1">
      <alignment horizontal="center"/>
      <protection/>
    </xf>
    <xf numFmtId="184" fontId="40" fillId="42" borderId="118" xfId="0" applyNumberFormat="1" applyFont="1" applyFill="1" applyBorder="1" applyAlignment="1" applyProtection="1">
      <alignment horizontal="center"/>
      <protection/>
    </xf>
    <xf numFmtId="184" fontId="177" fillId="51" borderId="118" xfId="0" applyNumberFormat="1" applyFont="1" applyFill="1" applyBorder="1" applyAlignment="1" applyProtection="1">
      <alignment horizontal="center"/>
      <protection/>
    </xf>
    <xf numFmtId="184" fontId="178" fillId="42" borderId="118" xfId="0" applyNumberFormat="1" applyFont="1" applyFill="1" applyBorder="1" applyAlignment="1" applyProtection="1">
      <alignment horizontal="center"/>
      <protection/>
    </xf>
    <xf numFmtId="184" fontId="39" fillId="52" borderId="118" xfId="0" applyNumberFormat="1" applyFont="1" applyFill="1" applyBorder="1" applyAlignment="1" applyProtection="1">
      <alignment horizontal="center"/>
      <protection/>
    </xf>
    <xf numFmtId="184" fontId="40" fillId="52" borderId="118" xfId="0" applyNumberFormat="1" applyFont="1" applyFill="1" applyBorder="1" applyAlignment="1" applyProtection="1">
      <alignment horizontal="center"/>
      <protection/>
    </xf>
    <xf numFmtId="184" fontId="179" fillId="52" borderId="118" xfId="0" applyNumberFormat="1" applyFont="1" applyFill="1" applyBorder="1" applyAlignment="1" applyProtection="1">
      <alignment horizontal="center"/>
      <protection/>
    </xf>
    <xf numFmtId="184" fontId="178" fillId="52" borderId="118" xfId="0" applyNumberFormat="1" applyFont="1" applyFill="1" applyBorder="1" applyAlignment="1" applyProtection="1">
      <alignment horizontal="center"/>
      <protection/>
    </xf>
    <xf numFmtId="184" fontId="39" fillId="40" borderId="118" xfId="0" applyNumberFormat="1" applyFont="1" applyFill="1" applyBorder="1" applyAlignment="1" applyProtection="1">
      <alignment horizontal="center"/>
      <protection/>
    </xf>
    <xf numFmtId="184" fontId="40" fillId="40" borderId="118" xfId="0" applyNumberFormat="1" applyFont="1" applyFill="1" applyBorder="1" applyAlignment="1" applyProtection="1">
      <alignment horizontal="center"/>
      <protection/>
    </xf>
    <xf numFmtId="184" fontId="180" fillId="40" borderId="118" xfId="0" applyNumberFormat="1" applyFont="1" applyFill="1" applyBorder="1" applyAlignment="1" applyProtection="1">
      <alignment horizontal="center"/>
      <protection/>
    </xf>
    <xf numFmtId="184" fontId="181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7" fillId="38" borderId="119" xfId="0" applyNumberFormat="1" applyFont="1" applyFill="1" applyBorder="1" applyAlignment="1" applyProtection="1">
      <alignment horizontal="center"/>
      <protection/>
    </xf>
    <xf numFmtId="184" fontId="167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4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2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4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4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4" fillId="43" borderId="10" xfId="0" applyNumberFormat="1" applyFont="1" applyFill="1" applyBorder="1" applyAlignment="1" applyProtection="1">
      <alignment/>
      <protection locked="0"/>
    </xf>
    <xf numFmtId="176" fontId="168" fillId="32" borderId="0" xfId="0" applyNumberFormat="1" applyFont="1" applyFill="1" applyBorder="1" applyAlignment="1" applyProtection="1" quotePrefix="1">
      <alignment horizontal="center"/>
      <protection/>
    </xf>
    <xf numFmtId="176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202" fontId="24" fillId="33" borderId="0" xfId="57" applyNumberFormat="1" applyFont="1" applyFill="1" applyBorder="1" applyAlignment="1">
      <alignment horizontal="center"/>
      <protection/>
    </xf>
    <xf numFmtId="0" fontId="155" fillId="32" borderId="68" xfId="57" applyFont="1" applyFill="1" applyBorder="1" quotePrefix="1">
      <alignment/>
      <protection/>
    </xf>
    <xf numFmtId="0" fontId="155" fillId="32" borderId="19" xfId="57" applyFont="1" applyFill="1" applyBorder="1" quotePrefix="1">
      <alignment/>
      <protection/>
    </xf>
    <xf numFmtId="199" fontId="24" fillId="32" borderId="69" xfId="58" applyNumberFormat="1" applyFont="1" applyFill="1" applyBorder="1" applyAlignment="1">
      <alignment/>
      <protection/>
    </xf>
    <xf numFmtId="0" fontId="155" fillId="32" borderId="17" xfId="57" applyFont="1" applyFill="1" applyBorder="1" quotePrefix="1">
      <alignment/>
      <protection/>
    </xf>
    <xf numFmtId="0" fontId="155" fillId="32" borderId="0" xfId="57" applyFont="1" applyFill="1" applyBorder="1" quotePrefix="1">
      <alignment/>
      <protection/>
    </xf>
    <xf numFmtId="199" fontId="24" fillId="32" borderId="18" xfId="58" applyNumberFormat="1" applyFont="1" applyFill="1" applyBorder="1" applyAlignment="1">
      <alignment/>
      <protection/>
    </xf>
    <xf numFmtId="0" fontId="155" fillId="32" borderId="26" xfId="57" applyFont="1" applyFill="1" applyBorder="1" quotePrefix="1">
      <alignment/>
      <protection/>
    </xf>
    <xf numFmtId="0" fontId="155" fillId="32" borderId="20" xfId="57" applyFont="1" applyFill="1" applyBorder="1" quotePrefix="1">
      <alignment/>
      <protection/>
    </xf>
    <xf numFmtId="199" fontId="24" fillId="32" borderId="21" xfId="58" applyNumberFormat="1" applyFont="1" applyFill="1" applyBorder="1" applyAlignment="1">
      <alignment/>
      <protection/>
    </xf>
    <xf numFmtId="0" fontId="155" fillId="45" borderId="68" xfId="57" applyFont="1" applyFill="1" applyBorder="1" quotePrefix="1">
      <alignment/>
      <protection/>
    </xf>
    <xf numFmtId="0" fontId="155" fillId="45" borderId="19" xfId="57" applyFont="1" applyFill="1" applyBorder="1" quotePrefix="1">
      <alignment/>
      <protection/>
    </xf>
    <xf numFmtId="199" fontId="24" fillId="45" borderId="69" xfId="58" applyNumberFormat="1" applyFont="1" applyFill="1" applyBorder="1" applyAlignment="1">
      <alignment/>
      <protection/>
    </xf>
    <xf numFmtId="0" fontId="155" fillId="45" borderId="17" xfId="57" applyFont="1" applyFill="1" applyBorder="1" quotePrefix="1">
      <alignment/>
      <protection/>
    </xf>
    <xf numFmtId="0" fontId="155" fillId="45" borderId="0" xfId="57" applyFont="1" applyFill="1" applyBorder="1" quotePrefix="1">
      <alignment/>
      <protection/>
    </xf>
    <xf numFmtId="199" fontId="24" fillId="45" borderId="18" xfId="58" applyNumberFormat="1" applyFont="1" applyFill="1" applyBorder="1" applyAlignment="1">
      <alignment/>
      <protection/>
    </xf>
    <xf numFmtId="0" fontId="155" fillId="45" borderId="26" xfId="57" applyFont="1" applyFill="1" applyBorder="1" quotePrefix="1">
      <alignment/>
      <protection/>
    </xf>
    <xf numFmtId="0" fontId="155" fillId="45" borderId="20" xfId="57" applyFont="1" applyFill="1" applyBorder="1" quotePrefix="1">
      <alignment/>
      <protection/>
    </xf>
    <xf numFmtId="199" fontId="24" fillId="45" borderId="21" xfId="58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3" fillId="39" borderId="27" xfId="0" applyNumberFormat="1" applyFont="1" applyFill="1" applyBorder="1" applyAlignment="1" applyProtection="1">
      <alignment horizontal="center"/>
      <protection/>
    </xf>
    <xf numFmtId="182" fontId="184" fillId="39" borderId="27" xfId="0" applyNumberFormat="1" applyFont="1" applyFill="1" applyBorder="1" applyAlignment="1" applyProtection="1">
      <alignment horizontal="center"/>
      <protection/>
    </xf>
    <xf numFmtId="193" fontId="159" fillId="39" borderId="27" xfId="0" applyNumberFormat="1" applyFont="1" applyFill="1" applyBorder="1" applyAlignment="1" applyProtection="1" quotePrefix="1">
      <alignment horizontal="center"/>
      <protection/>
    </xf>
    <xf numFmtId="181" fontId="160" fillId="41" borderId="27" xfId="0" applyNumberFormat="1" applyFont="1" applyFill="1" applyBorder="1" applyAlignment="1" applyProtection="1" quotePrefix="1">
      <alignment horizontal="center"/>
      <protection/>
    </xf>
    <xf numFmtId="193" fontId="165" fillId="41" borderId="27" xfId="0" applyNumberFormat="1" applyFont="1" applyFill="1" applyBorder="1" applyAlignment="1" applyProtection="1" quotePrefix="1">
      <alignment horizontal="center"/>
      <protection/>
    </xf>
    <xf numFmtId="181" fontId="165" fillId="41" borderId="27" xfId="0" applyNumberFormat="1" applyFont="1" applyFill="1" applyBorder="1" applyAlignment="1" applyProtection="1" quotePrefix="1">
      <alignment horizontal="center"/>
      <protection/>
    </xf>
    <xf numFmtId="181" fontId="172" fillId="49" borderId="27" xfId="0" applyNumberFormat="1" applyFont="1" applyFill="1" applyBorder="1" applyAlignment="1" applyProtection="1" quotePrefix="1">
      <alignment horizontal="center"/>
      <protection/>
    </xf>
    <xf numFmtId="193" fontId="166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81" fontId="24" fillId="32" borderId="0" xfId="57" applyNumberFormat="1" applyFont="1" applyFill="1" applyBorder="1" applyAlignment="1">
      <alignment horizontal="center"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6" fillId="39" borderId="102" xfId="0" applyNumberFormat="1" applyFont="1" applyFill="1" applyBorder="1" applyAlignment="1" applyProtection="1" quotePrefix="1">
      <alignment horizontal="center"/>
      <protection/>
    </xf>
    <xf numFmtId="213" fontId="160" fillId="41" borderId="102" xfId="0" applyNumberFormat="1" applyFont="1" applyFill="1" applyBorder="1" applyAlignment="1" applyProtection="1" quotePrefix="1">
      <alignment horizontal="center"/>
      <protection/>
    </xf>
    <xf numFmtId="213" fontId="172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7" fillId="32" borderId="45" xfId="0" applyNumberFormat="1" applyFont="1" applyFill="1" applyBorder="1" applyAlignment="1" applyProtection="1">
      <alignment horizontal="center"/>
      <protection locked="0"/>
    </xf>
    <xf numFmtId="213" fontId="186" fillId="39" borderId="27" xfId="0" applyNumberFormat="1" applyFont="1" applyFill="1" applyBorder="1" applyAlignment="1" applyProtection="1">
      <alignment horizontal="center"/>
      <protection/>
    </xf>
    <xf numFmtId="213" fontId="160" fillId="41" borderId="27" xfId="0" applyNumberFormat="1" applyFont="1" applyFill="1" applyBorder="1" applyAlignment="1" applyProtection="1" quotePrefix="1">
      <alignment horizontal="center"/>
      <protection/>
    </xf>
    <xf numFmtId="213" fontId="172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8" fontId="69" fillId="32" borderId="0" xfId="57" applyNumberFormat="1" applyFont="1" applyFill="1" applyBorder="1" applyAlignment="1">
      <alignment horizontal="left"/>
      <protection/>
    </xf>
    <xf numFmtId="178" fontId="70" fillId="45" borderId="0" xfId="57" applyNumberFormat="1" applyFont="1" applyFill="1" applyBorder="1" applyAlignment="1">
      <alignment horizontal="center"/>
      <protection/>
    </xf>
    <xf numFmtId="181" fontId="70" fillId="45" borderId="0" xfId="57" applyNumberFormat="1" applyFont="1" applyFill="1" applyBorder="1" applyAlignment="1">
      <alignment horizontal="center"/>
      <protection/>
    </xf>
    <xf numFmtId="181" fontId="69" fillId="32" borderId="0" xfId="57" applyNumberFormat="1" applyFont="1" applyFill="1" applyBorder="1" applyAlignment="1">
      <alignment horizontal="center"/>
      <protection/>
    </xf>
    <xf numFmtId="178" fontId="69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69" fillId="33" borderId="0" xfId="57" applyNumberFormat="1" applyFont="1" applyFill="1" applyBorder="1" applyAlignment="1">
      <alignment/>
      <protection/>
    </xf>
    <xf numFmtId="181" fontId="69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69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179" fontId="69" fillId="33" borderId="0" xfId="57" applyNumberFormat="1" applyFont="1" applyFill="1" applyBorder="1" applyAlignment="1">
      <alignment/>
      <protection/>
    </xf>
    <xf numFmtId="202" fontId="69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9" fontId="69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9" fontId="69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9" fontId="69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/>
      <protection/>
    </xf>
    <xf numFmtId="203" fontId="6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1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80" fontId="69" fillId="38" borderId="0" xfId="57" applyNumberFormat="1" applyFont="1" applyFill="1" applyBorder="1" applyAlignment="1">
      <alignment/>
      <protection/>
    </xf>
    <xf numFmtId="212" fontId="69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9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9" fillId="32" borderId="20" xfId="57" applyNumberFormat="1" applyFont="1" applyFill="1" applyBorder="1">
      <alignment/>
      <protection/>
    </xf>
    <xf numFmtId="178" fontId="69" fillId="32" borderId="20" xfId="57" applyNumberFormat="1" applyFont="1" applyFill="1" applyBorder="1" applyAlignment="1">
      <alignment horizontal="left"/>
      <protection/>
    </xf>
    <xf numFmtId="210" fontId="189" fillId="55" borderId="0" xfId="63" applyNumberFormat="1" applyFont="1" applyFill="1" applyBorder="1" applyAlignment="1">
      <alignment horizontal="center"/>
      <protection/>
    </xf>
    <xf numFmtId="0" fontId="190" fillId="55" borderId="0" xfId="63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181" fontId="24" fillId="32" borderId="0" xfId="57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center"/>
      <protection/>
    </xf>
    <xf numFmtId="178" fontId="69" fillId="32" borderId="0" xfId="57" applyNumberFormat="1" applyFont="1" applyFill="1" applyBorder="1" applyAlignment="1">
      <alignment horizontal="center"/>
      <protection/>
    </xf>
    <xf numFmtId="180" fontId="69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9" fillId="38" borderId="0" xfId="57" applyNumberFormat="1" applyFont="1" applyFill="1" applyBorder="1" applyAlignment="1">
      <alignment horizontal="center"/>
      <protection/>
    </xf>
    <xf numFmtId="197" fontId="69" fillId="33" borderId="0" xfId="58" applyNumberFormat="1" applyFont="1" applyFill="1" applyBorder="1" applyAlignment="1">
      <alignment horizontal="center"/>
      <protection/>
    </xf>
    <xf numFmtId="181" fontId="69" fillId="32" borderId="0" xfId="57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69" fillId="33" borderId="0" xfId="57" applyNumberFormat="1" applyFont="1" applyFill="1" applyBorder="1" applyAlignment="1">
      <alignment horizontal="center"/>
      <protection/>
    </xf>
    <xf numFmtId="179" fontId="69" fillId="45" borderId="0" xfId="57" applyNumberFormat="1" applyFont="1" applyFill="1" applyBorder="1" applyAlignment="1">
      <alignment horizontal="center"/>
      <protection/>
    </xf>
    <xf numFmtId="180" fontId="69" fillId="38" borderId="0" xfId="57" applyNumberFormat="1" applyFont="1" applyFill="1" applyBorder="1" applyAlignment="1">
      <alignment horizontal="left"/>
      <protection/>
    </xf>
    <xf numFmtId="201" fontId="59" fillId="45" borderId="20" xfId="58" applyNumberFormat="1" applyFont="1" applyFill="1" applyBorder="1" applyAlignment="1">
      <alignment horizontal="center"/>
      <protection/>
    </xf>
    <xf numFmtId="199" fontId="59" fillId="32" borderId="19" xfId="58" applyNumberFormat="1" applyFont="1" applyFill="1" applyBorder="1" applyAlignment="1">
      <alignment horizontal="center"/>
      <protection/>
    </xf>
    <xf numFmtId="200" fontId="59" fillId="32" borderId="0" xfId="58" applyNumberFormat="1" applyFont="1" applyFill="1" applyBorder="1" applyAlignment="1">
      <alignment horizontal="center"/>
      <protection/>
    </xf>
    <xf numFmtId="197" fontId="69" fillId="32" borderId="0" xfId="58" applyNumberFormat="1" applyFont="1" applyFill="1" applyBorder="1" applyAlignment="1">
      <alignment horizontal="center"/>
      <protection/>
    </xf>
    <xf numFmtId="181" fontId="69" fillId="45" borderId="0" xfId="57" applyNumberFormat="1" applyFont="1" applyFill="1" applyBorder="1" applyAlignment="1">
      <alignment horizontal="center"/>
      <protection/>
    </xf>
    <xf numFmtId="202" fontId="69" fillId="33" borderId="0" xfId="57" applyNumberFormat="1" applyFont="1" applyFill="1" applyBorder="1" applyAlignment="1">
      <alignment horizontal="center"/>
      <protection/>
    </xf>
    <xf numFmtId="199" fontId="59" fillId="45" borderId="19" xfId="58" applyNumberFormat="1" applyFont="1" applyFill="1" applyBorder="1" applyAlignment="1">
      <alignment horizontal="center"/>
      <protection/>
    </xf>
    <xf numFmtId="201" fontId="59" fillId="32" borderId="20" xfId="58" applyNumberFormat="1" applyFont="1" applyFill="1" applyBorder="1" applyAlignment="1">
      <alignment horizontal="center"/>
      <protection/>
    </xf>
    <xf numFmtId="197" fontId="69" fillId="45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59" fillId="45" borderId="0" xfId="58" applyNumberFormat="1" applyFont="1" applyFill="1" applyBorder="1" applyAlignment="1">
      <alignment horizontal="center"/>
      <protection/>
    </xf>
    <xf numFmtId="206" fontId="59" fillId="45" borderId="20" xfId="58" applyNumberFormat="1" applyFont="1" applyFill="1" applyBorder="1" applyAlignment="1">
      <alignment horizontal="center"/>
      <protection/>
    </xf>
    <xf numFmtId="204" fontId="59" fillId="45" borderId="19" xfId="58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204" fontId="59" fillId="32" borderId="19" xfId="58" applyNumberFormat="1" applyFont="1" applyFill="1" applyBorder="1" applyAlignment="1">
      <alignment horizontal="center"/>
      <protection/>
    </xf>
    <xf numFmtId="200" fontId="59" fillId="45" borderId="0" xfId="58" applyNumberFormat="1" applyFont="1" applyFill="1" applyBorder="1" applyAlignment="1">
      <alignment horizontal="center"/>
      <protection/>
    </xf>
    <xf numFmtId="205" fontId="59" fillId="32" borderId="0" xfId="58" applyNumberFormat="1" applyFont="1" applyFill="1" applyBorder="1" applyAlignment="1">
      <alignment horizontal="center"/>
      <protection/>
    </xf>
    <xf numFmtId="206" fontId="59" fillId="32" borderId="20" xfId="58" applyNumberFormat="1" applyFont="1" applyFill="1" applyBorder="1" applyAlignment="1">
      <alignment horizontal="center"/>
      <protection/>
    </xf>
    <xf numFmtId="209" fontId="191" fillId="32" borderId="0" xfId="0" applyNumberFormat="1" applyFont="1" applyFill="1" applyAlignment="1" applyProtection="1">
      <alignment horizontal="center"/>
      <protection/>
    </xf>
    <xf numFmtId="209" fontId="191" fillId="54" borderId="0" xfId="0" applyNumberFormat="1" applyFont="1" applyFill="1" applyAlignment="1" applyProtection="1">
      <alignment horizontal="center"/>
      <protection/>
    </xf>
    <xf numFmtId="38" fontId="182" fillId="43" borderId="42" xfId="65" applyNumberFormat="1" applyFont="1" applyFill="1" applyBorder="1" applyAlignment="1" applyProtection="1">
      <alignment horizontal="center"/>
      <protection/>
    </xf>
    <xf numFmtId="38" fontId="182" fillId="43" borderId="43" xfId="65" applyNumberFormat="1" applyFont="1" applyFill="1" applyBorder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2" fillId="45" borderId="28" xfId="57" applyNumberFormat="1" applyFont="1" applyFill="1" applyBorder="1" applyAlignment="1" applyProtection="1">
      <alignment horizontal="center" vertical="center"/>
      <protection locked="0"/>
    </xf>
    <xf numFmtId="188" fontId="192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3" fillId="46" borderId="65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0" fontId="193" fillId="33" borderId="61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30" xfId="61" applyFont="1" applyFill="1" applyBorder="1" applyAlignment="1" applyProtection="1">
      <alignment horizontal="center"/>
      <protection/>
    </xf>
    <xf numFmtId="0" fontId="169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7" fontId="194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3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28" xfId="53" applyFill="1" applyBorder="1" applyAlignment="1" applyProtection="1">
      <alignment horizontal="center" vertical="center"/>
      <protection locked="0"/>
    </xf>
    <xf numFmtId="0" fontId="195" fillId="36" borderId="43" xfId="53" applyFont="1" applyFill="1" applyBorder="1" applyAlignment="1" applyProtection="1">
      <alignment horizontal="center" vertical="center"/>
      <protection locked="0"/>
    </xf>
    <xf numFmtId="0" fontId="195" fillId="36" borderId="29" xfId="53" applyFont="1" applyFill="1" applyBorder="1" applyAlignment="1" applyProtection="1">
      <alignment horizontal="center" vertical="center"/>
      <protection locked="0"/>
    </xf>
    <xf numFmtId="38" fontId="145" fillId="33" borderId="28" xfId="53" applyNumberFormat="1" applyFill="1" applyBorder="1" applyAlignment="1" applyProtection="1">
      <alignment horizontal="center" vertical="center"/>
      <protection locked="0"/>
    </xf>
    <xf numFmtId="38" fontId="196" fillId="33" borderId="43" xfId="53" applyNumberFormat="1" applyFont="1" applyFill="1" applyBorder="1" applyAlignment="1" applyProtection="1">
      <alignment horizontal="center" vertical="center"/>
      <protection locked="0"/>
    </xf>
    <xf numFmtId="38" fontId="196" fillId="33" borderId="29" xfId="53" applyNumberFormat="1" applyFont="1" applyFill="1" applyBorder="1" applyAlignment="1" applyProtection="1">
      <alignment horizontal="center" vertical="center"/>
      <protection locked="0"/>
    </xf>
    <xf numFmtId="0" fontId="197" fillId="32" borderId="0" xfId="60" applyFont="1" applyFill="1" applyBorder="1" applyAlignment="1" applyProtection="1">
      <alignment horizontal="center"/>
      <protection/>
    </xf>
    <xf numFmtId="187" fontId="160" fillId="33" borderId="28" xfId="60" applyNumberFormat="1" applyFont="1" applyFill="1" applyBorder="1" applyAlignment="1" applyProtection="1">
      <alignment horizontal="center"/>
      <protection/>
    </xf>
    <xf numFmtId="187" fontId="160" fillId="33" borderId="43" xfId="60" applyNumberFormat="1" applyFont="1" applyFill="1" applyBorder="1" applyAlignment="1" applyProtection="1">
      <alignment horizontal="center"/>
      <protection/>
    </xf>
    <xf numFmtId="187" fontId="160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8" fillId="32" borderId="45" xfId="57" applyFont="1" applyFill="1" applyBorder="1" applyAlignment="1" applyProtection="1" quotePrefix="1">
      <alignment horizontal="center"/>
      <protection/>
    </xf>
    <xf numFmtId="0" fontId="199" fillId="38" borderId="26" xfId="64" applyFont="1" applyFill="1" applyBorder="1" applyAlignment="1" applyProtection="1">
      <alignment horizontal="center" vertical="center" wrapText="1"/>
      <protection locked="0"/>
    </xf>
    <xf numFmtId="0" fontId="199" fillId="38" borderId="20" xfId="64" applyFont="1" applyFill="1" applyBorder="1" applyAlignment="1" applyProtection="1">
      <alignment horizontal="center" vertical="center" wrapText="1"/>
      <protection locked="0"/>
    </xf>
    <xf numFmtId="0" fontId="199" fillId="38" borderId="21" xfId="64" applyFont="1" applyFill="1" applyBorder="1" applyAlignment="1" applyProtection="1">
      <alignment horizontal="center" vertical="center" wrapText="1"/>
      <protection locked="0"/>
    </xf>
    <xf numFmtId="208" fontId="200" fillId="48" borderId="43" xfId="65" applyNumberFormat="1" applyFont="1" applyFill="1" applyBorder="1" applyAlignment="1" applyProtection="1">
      <alignment horizontal="left"/>
      <protection/>
    </xf>
    <xf numFmtId="208" fontId="200" fillId="48" borderId="29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11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1" fillId="33" borderId="47" xfId="65" applyNumberFormat="1" applyFont="1" applyFill="1" applyBorder="1" applyAlignment="1" applyProtection="1">
      <alignment horizontal="center"/>
      <protection/>
    </xf>
    <xf numFmtId="38" fontId="201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1" fillId="33" borderId="49" xfId="65" applyNumberFormat="1" applyFont="1" applyFill="1" applyBorder="1" applyAlignment="1" applyProtection="1">
      <alignment horizontal="center"/>
      <protection/>
    </xf>
    <xf numFmtId="38" fontId="201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4" fillId="33" borderId="0" xfId="60" applyNumberFormat="1" applyFont="1" applyFill="1" applyBorder="1" applyAlignment="1" applyProtection="1">
      <alignment horizontal="center"/>
      <protection/>
    </xf>
    <xf numFmtId="0" fontId="198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3" fillId="33" borderId="116" xfId="61" applyFont="1" applyFill="1" applyBorder="1" applyAlignment="1" applyProtection="1">
      <alignment horizontal="center"/>
      <protection/>
    </xf>
    <xf numFmtId="0" fontId="193" fillId="33" borderId="135" xfId="61" applyFont="1" applyFill="1" applyBorder="1" applyAlignment="1" applyProtection="1">
      <alignment horizontal="center"/>
      <protection/>
    </xf>
    <xf numFmtId="210" fontId="202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2" fillId="45" borderId="28" xfId="57" applyNumberFormat="1" applyFont="1" applyFill="1" applyBorder="1" applyAlignment="1" applyProtection="1">
      <alignment horizontal="center" vertical="center"/>
      <protection/>
    </xf>
    <xf numFmtId="188" fontId="192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3" fillId="36" borderId="28" xfId="53" applyFont="1" applyFill="1" applyBorder="1" applyAlignment="1" applyProtection="1">
      <alignment horizontal="center" vertical="center"/>
      <protection/>
    </xf>
    <xf numFmtId="0" fontId="203" fillId="36" borderId="43" xfId="53" applyFont="1" applyFill="1" applyBorder="1" applyAlignment="1" applyProtection="1">
      <alignment horizontal="center" vertical="center"/>
      <protection/>
    </xf>
    <xf numFmtId="0" fontId="203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zoomScalePageLayoutView="0" workbookViewId="0" topLeftCell="A1">
      <pane xSplit="5" ySplit="12" topLeftCell="F7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6" sqref="F1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463</v>
      </c>
      <c r="C1" s="791"/>
      <c r="D1" s="791"/>
      <c r="E1" s="791"/>
      <c r="F1" s="792"/>
      <c r="G1" s="433" t="s">
        <v>244</v>
      </c>
      <c r="H1" s="426"/>
      <c r="I1" s="778" t="s">
        <v>462</v>
      </c>
      <c r="J1" s="779"/>
      <c r="K1" s="427"/>
      <c r="L1" s="435" t="s">
        <v>245</v>
      </c>
      <c r="M1" s="431">
        <v>5500</v>
      </c>
      <c r="N1" s="427"/>
      <c r="O1" s="435" t="s">
        <v>239</v>
      </c>
      <c r="P1" s="452" t="s">
        <v>464</v>
      </c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 t="s">
        <v>466</v>
      </c>
      <c r="I3" s="784"/>
      <c r="J3" s="784"/>
      <c r="K3" s="785"/>
      <c r="L3" s="28" t="s">
        <v>246</v>
      </c>
      <c r="M3" s="780" t="s">
        <v>465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НАЦИОНАЛЕН ОСИГУРИТЕЛЕН ИНСТИТУТ-ДОО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361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31.03.2022 г.</v>
      </c>
      <c r="G11" s="396">
        <f>+P5-1</f>
        <v>2021</v>
      </c>
      <c r="H11" s="15"/>
      <c r="I11" s="604" t="str">
        <f>+O8</f>
        <v>31.03.2022 г.</v>
      </c>
      <c r="J11" s="397">
        <f>+P5-1</f>
        <v>2021</v>
      </c>
      <c r="K11" s="16"/>
      <c r="L11" s="605" t="str">
        <f>+O8</f>
        <v>31.03.2022 г.</v>
      </c>
      <c r="M11" s="398">
        <f>+P5-1</f>
        <v>2021</v>
      </c>
      <c r="N11" s="16"/>
      <c r="O11" s="606" t="str">
        <f>+O8</f>
        <v>31.03.2022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2183652963</v>
      </c>
      <c r="G15" s="229">
        <v>8756011720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2183652963</v>
      </c>
      <c r="P15" s="378">
        <f t="shared" si="0"/>
        <v>8756011720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6582530</v>
      </c>
      <c r="G18" s="229">
        <v>22296514</v>
      </c>
      <c r="H18" s="15"/>
      <c r="I18" s="230"/>
      <c r="J18" s="229"/>
      <c r="K18" s="227"/>
      <c r="L18" s="230"/>
      <c r="M18" s="229"/>
      <c r="N18" s="227"/>
      <c r="O18" s="365">
        <f t="shared" si="0"/>
        <v>6582530</v>
      </c>
      <c r="P18" s="378">
        <f t="shared" si="0"/>
        <v>22296514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1265425</v>
      </c>
      <c r="G19" s="231">
        <v>5141149</v>
      </c>
      <c r="H19" s="15"/>
      <c r="I19" s="232"/>
      <c r="J19" s="231"/>
      <c r="K19" s="227"/>
      <c r="L19" s="232"/>
      <c r="M19" s="231"/>
      <c r="N19" s="227"/>
      <c r="O19" s="360">
        <f t="shared" si="0"/>
        <v>1265425</v>
      </c>
      <c r="P19" s="412">
        <f t="shared" si="0"/>
        <v>5141149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9675</v>
      </c>
      <c r="G20" s="231">
        <v>38182</v>
      </c>
      <c r="H20" s="15"/>
      <c r="I20" s="232"/>
      <c r="J20" s="231"/>
      <c r="K20" s="227"/>
      <c r="L20" s="232"/>
      <c r="M20" s="231"/>
      <c r="N20" s="227"/>
      <c r="O20" s="360">
        <f t="shared" si="0"/>
        <v>9675</v>
      </c>
      <c r="P20" s="412">
        <f t="shared" si="0"/>
        <v>38182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237367</v>
      </c>
      <c r="G22" s="231">
        <v>835720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237367</v>
      </c>
      <c r="P22" s="412">
        <f t="shared" si="0"/>
        <v>835720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22483579</v>
      </c>
      <c r="G24" s="233">
        <v>392215478</v>
      </c>
      <c r="H24" s="15"/>
      <c r="I24" s="234"/>
      <c r="J24" s="233"/>
      <c r="K24" s="227"/>
      <c r="L24" s="234"/>
      <c r="M24" s="233"/>
      <c r="N24" s="227"/>
      <c r="O24" s="361">
        <f t="shared" si="0"/>
        <v>22483579</v>
      </c>
      <c r="P24" s="384">
        <f t="shared" si="0"/>
        <v>392215478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2214231539</v>
      </c>
      <c r="G25" s="235">
        <f>+ROUND(+SUM(G15,G16,G18,G19,G20,G21,G22,G23,G24),0)</f>
        <v>9176538763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2214231539</v>
      </c>
      <c r="P25" s="363">
        <f>+ROUND(+SUM(P15,P16,P18,P19,P20,P21,P22,P23,P24),0)</f>
        <v>9176538763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-820998</v>
      </c>
      <c r="G37" s="247">
        <v>-1017704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-820998</v>
      </c>
      <c r="P37" s="363">
        <f t="shared" si="2"/>
        <v>-1017704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-210749</v>
      </c>
      <c r="G38" s="249">
        <v>-857839</v>
      </c>
      <c r="H38" s="15"/>
      <c r="I38" s="250"/>
      <c r="J38" s="249"/>
      <c r="K38" s="227"/>
      <c r="L38" s="250"/>
      <c r="M38" s="249"/>
      <c r="N38" s="227"/>
      <c r="O38" s="375">
        <f t="shared" si="2"/>
        <v>-210749</v>
      </c>
      <c r="P38" s="413">
        <f t="shared" si="2"/>
        <v>-857839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-129758</v>
      </c>
      <c r="G39" s="251">
        <v>-122536</v>
      </c>
      <c r="H39" s="15"/>
      <c r="I39" s="252"/>
      <c r="J39" s="251"/>
      <c r="K39" s="227"/>
      <c r="L39" s="252"/>
      <c r="M39" s="251"/>
      <c r="N39" s="227"/>
      <c r="O39" s="376">
        <f t="shared" si="2"/>
        <v>-129758</v>
      </c>
      <c r="P39" s="414">
        <f t="shared" si="2"/>
        <v>-122536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>
        <v>628</v>
      </c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628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2213410541</v>
      </c>
      <c r="G50" s="257">
        <f>+ROUND(G25+G30+G37+G42+G48,0)</f>
        <v>9175521687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2213410541</v>
      </c>
      <c r="P50" s="380">
        <f>+ROUND(P25+P30+P37+P42+P48,0)</f>
        <v>9175521687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10674288</v>
      </c>
      <c r="G53" s="259">
        <v>44951863</v>
      </c>
      <c r="H53" s="15"/>
      <c r="I53" s="260">
        <v>935520</v>
      </c>
      <c r="J53" s="259">
        <v>439784</v>
      </c>
      <c r="K53" s="227"/>
      <c r="L53" s="260"/>
      <c r="M53" s="259"/>
      <c r="N53" s="227"/>
      <c r="O53" s="366">
        <f aca="true" t="shared" si="4" ref="O53:P57">+ROUND(+F53+I53+L53,0)</f>
        <v>11609808</v>
      </c>
      <c r="P53" s="359">
        <f t="shared" si="4"/>
        <v>45391647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2219</v>
      </c>
      <c r="G54" s="233">
        <v>79526</v>
      </c>
      <c r="H54" s="15"/>
      <c r="I54" s="234">
        <v>0</v>
      </c>
      <c r="J54" s="233">
        <v>0</v>
      </c>
      <c r="K54" s="227"/>
      <c r="L54" s="234"/>
      <c r="M54" s="233"/>
      <c r="N54" s="227"/>
      <c r="O54" s="361">
        <f t="shared" si="4"/>
        <v>2219</v>
      </c>
      <c r="P54" s="384">
        <f t="shared" si="4"/>
        <v>79526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369469</v>
      </c>
      <c r="G55" s="233">
        <v>475484</v>
      </c>
      <c r="H55" s="15"/>
      <c r="I55" s="234">
        <v>0</v>
      </c>
      <c r="J55" s="233">
        <v>0</v>
      </c>
      <c r="K55" s="227"/>
      <c r="L55" s="234"/>
      <c r="M55" s="233"/>
      <c r="N55" s="227"/>
      <c r="O55" s="361">
        <f t="shared" si="4"/>
        <v>369469</v>
      </c>
      <c r="P55" s="384">
        <f t="shared" si="4"/>
        <v>475484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17690596</v>
      </c>
      <c r="G56" s="233">
        <v>71716263</v>
      </c>
      <c r="H56" s="15"/>
      <c r="I56" s="234">
        <v>22315</v>
      </c>
      <c r="J56" s="233">
        <v>68682</v>
      </c>
      <c r="K56" s="227"/>
      <c r="L56" s="234"/>
      <c r="M56" s="233"/>
      <c r="N56" s="227"/>
      <c r="O56" s="361">
        <f t="shared" si="4"/>
        <v>17712911</v>
      </c>
      <c r="P56" s="384">
        <f t="shared" si="4"/>
        <v>71784945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4969834</v>
      </c>
      <c r="G57" s="233">
        <v>20557136</v>
      </c>
      <c r="H57" s="15"/>
      <c r="I57" s="234">
        <v>7467</v>
      </c>
      <c r="J57" s="233">
        <v>22088</v>
      </c>
      <c r="K57" s="227"/>
      <c r="L57" s="234"/>
      <c r="M57" s="233"/>
      <c r="N57" s="227"/>
      <c r="O57" s="361">
        <f t="shared" si="4"/>
        <v>4977301</v>
      </c>
      <c r="P57" s="384">
        <f t="shared" si="4"/>
        <v>20579224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33706406</v>
      </c>
      <c r="G58" s="261">
        <f>+ROUND(+SUM(G53:G57),0)</f>
        <v>137780272</v>
      </c>
      <c r="H58" s="15"/>
      <c r="I58" s="262">
        <f>+ROUND(+SUM(I53:I57),0)</f>
        <v>965302</v>
      </c>
      <c r="J58" s="261">
        <f>+ROUND(+SUM(J53:J57),0)</f>
        <v>530554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34671708</v>
      </c>
      <c r="P58" s="382">
        <f>+ROUND(+SUM(P53:P57),0)</f>
        <v>138310826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>
        <v>36000</v>
      </c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36000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13336</v>
      </c>
      <c r="G61" s="233">
        <v>7094809</v>
      </c>
      <c r="H61" s="15"/>
      <c r="I61" s="234"/>
      <c r="J61" s="233"/>
      <c r="K61" s="227"/>
      <c r="L61" s="234"/>
      <c r="M61" s="233"/>
      <c r="N61" s="227"/>
      <c r="O61" s="361">
        <f t="shared" si="5"/>
        <v>13336</v>
      </c>
      <c r="P61" s="384">
        <f t="shared" si="5"/>
        <v>7094809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22440</v>
      </c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22440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13336</v>
      </c>
      <c r="G65" s="261">
        <f>+ROUND(+SUM(G60:G63),0)</f>
        <v>7153249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13336</v>
      </c>
      <c r="P65" s="382">
        <f>+ROUND(+SUM(P60:P63),0)</f>
        <v>7153249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3950430206</v>
      </c>
      <c r="G71" s="259">
        <v>16345894140</v>
      </c>
      <c r="H71" s="15"/>
      <c r="I71" s="260"/>
      <c r="J71" s="259"/>
      <c r="K71" s="227"/>
      <c r="L71" s="260"/>
      <c r="M71" s="259"/>
      <c r="N71" s="227"/>
      <c r="O71" s="366">
        <f>+ROUND(+F71+I71+L71,0)</f>
        <v>3950430206</v>
      </c>
      <c r="P71" s="359">
        <f>+ROUND(+G71+J71+M71,0)</f>
        <v>16345894140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>
        <v>234646</v>
      </c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234646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3950430206</v>
      </c>
      <c r="G73" s="261">
        <f>+ROUND(+SUM(G71:G72),0)</f>
        <v>16346128786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3950430206</v>
      </c>
      <c r="P73" s="382">
        <f>+ROUND(+SUM(P71:P72),0)</f>
        <v>16346128786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-5238944</v>
      </c>
      <c r="G75" s="259">
        <v>823459273</v>
      </c>
      <c r="H75" s="15"/>
      <c r="I75" s="260"/>
      <c r="J75" s="259"/>
      <c r="K75" s="227"/>
      <c r="L75" s="260"/>
      <c r="M75" s="259"/>
      <c r="N75" s="227"/>
      <c r="O75" s="366">
        <f>+ROUND(+F75+I75+L75,0)</f>
        <v>-5238944</v>
      </c>
      <c r="P75" s="359">
        <f>+ROUND(+G75+J75+M75,0)</f>
        <v>823459273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-5238944</v>
      </c>
      <c r="G77" s="261">
        <f>+ROUND(+SUM(G75:G76),0)</f>
        <v>823459273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-5238944</v>
      </c>
      <c r="P77" s="382">
        <f>+ROUND(+SUM(P75:P76),0)</f>
        <v>823459273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3978911004</v>
      </c>
      <c r="G79" s="272">
        <f>+ROUND(G58+G65+G69+G73+G77,0)</f>
        <v>17314521580</v>
      </c>
      <c r="H79" s="15"/>
      <c r="I79" s="269">
        <f>+ROUND(I58+I65+I69+I73+I77,0)</f>
        <v>965302</v>
      </c>
      <c r="J79" s="272">
        <f>+ROUND(J58+J65+J69+J73+J77,0)</f>
        <v>530554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3979876306</v>
      </c>
      <c r="P79" s="392">
        <f>+ROUND(P58+P65+P69+P73+P77,0)</f>
        <v>17315052134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1656480034</v>
      </c>
      <c r="G81" s="229">
        <v>8208095365</v>
      </c>
      <c r="H81" s="15"/>
      <c r="I81" s="230">
        <v>934948</v>
      </c>
      <c r="J81" s="229">
        <v>530554</v>
      </c>
      <c r="K81" s="227"/>
      <c r="L81" s="230"/>
      <c r="M81" s="229"/>
      <c r="N81" s="227"/>
      <c r="O81" s="365">
        <f>+ROUND(+F81+I81+L81,0)</f>
        <v>1657414982</v>
      </c>
      <c r="P81" s="378">
        <f>+ROUND(+G81+J81+M81,0)</f>
        <v>8208625919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1656480034</v>
      </c>
      <c r="G83" s="270">
        <f>+ROUND(G81+G82,0)</f>
        <v>8208095365</v>
      </c>
      <c r="H83" s="15"/>
      <c r="I83" s="271">
        <f>+ROUND(I81+I82,0)</f>
        <v>934948</v>
      </c>
      <c r="J83" s="270">
        <f>+ROUND(J81+J82,0)</f>
        <v>530554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1657414982</v>
      </c>
      <c r="P83" s="387">
        <f>+ROUND(P81+P82,0)</f>
        <v>8208625919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-109020429</v>
      </c>
      <c r="G85" s="291">
        <f>+ROUND(G50,0)-ROUND(G79,0)+ROUND(G83,0)</f>
        <v>69095472</v>
      </c>
      <c r="H85" s="15"/>
      <c r="I85" s="292">
        <f>+ROUND(I50,0)-ROUND(I79,0)+ROUND(I83,0)</f>
        <v>-30354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-109050783</v>
      </c>
      <c r="P85" s="389">
        <f>+ROUND(P50,0)-ROUND(P79,0)+ROUND(P83,0)</f>
        <v>69095472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109020429</v>
      </c>
      <c r="G86" s="293">
        <f>+ROUND(G103,0)+ROUND(G122,0)+ROUND(G129,0)-ROUND(G134,0)</f>
        <v>-69095472</v>
      </c>
      <c r="H86" s="15"/>
      <c r="I86" s="294">
        <f>+ROUND(I103,0)+ROUND(I122,0)+ROUND(I129,0)-ROUND(I134,0)</f>
        <v>30354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109050783</v>
      </c>
      <c r="P86" s="391">
        <f>+ROUND(P103,0)+ROUND(P122,0)+ROUND(P129,0)-ROUND(P134,0)</f>
        <v>-69095472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5462535</v>
      </c>
      <c r="G100" s="233">
        <v>648436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5462535</v>
      </c>
      <c r="P100" s="384">
        <f>+ROUND(+G100+J100+M100,0)</f>
        <v>648436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5462535</v>
      </c>
      <c r="G101" s="235">
        <f>+ROUND(+SUM(G99:G100),0)</f>
        <v>648436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5462535</v>
      </c>
      <c r="P101" s="363">
        <f>+ROUND(+SUM(P99:P100),0)</f>
        <v>648436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5462535</v>
      </c>
      <c r="G103" s="257">
        <f>+ROUND(G91+G97+G101,0)</f>
        <v>648436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5462535</v>
      </c>
      <c r="P103" s="380">
        <f>+ROUND(P91+P97+P101,0)</f>
        <v>648436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23606</v>
      </c>
      <c r="G118" s="259">
        <v>19527</v>
      </c>
      <c r="H118" s="15"/>
      <c r="I118" s="260"/>
      <c r="J118" s="259"/>
      <c r="K118" s="227"/>
      <c r="L118" s="260">
        <v>-553583939</v>
      </c>
      <c r="M118" s="259">
        <v>631735857</v>
      </c>
      <c r="N118" s="227"/>
      <c r="O118" s="366">
        <f>+ROUND(+F118+I118+L118,0)</f>
        <v>-553560333</v>
      </c>
      <c r="P118" s="359">
        <f>+ROUND(+G118+J118+M118,0)</f>
        <v>631755384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-163144</v>
      </c>
      <c r="G119" s="233">
        <v>65867</v>
      </c>
      <c r="H119" s="15"/>
      <c r="I119" s="234"/>
      <c r="J119" s="233"/>
      <c r="K119" s="227"/>
      <c r="L119" s="234"/>
      <c r="M119" s="233"/>
      <c r="N119" s="227"/>
      <c r="O119" s="361">
        <f>+ROUND(+F119+I119+L119,0)</f>
        <v>-163144</v>
      </c>
      <c r="P119" s="384">
        <f>+ROUND(+G119+J119+M119,0)</f>
        <v>65867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-139538</v>
      </c>
      <c r="G120" s="261">
        <f>+ROUND(+SUM(G118:G119),0)</f>
        <v>85394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-553583939</v>
      </c>
      <c r="M120" s="261">
        <f>+ROUND(+SUM(M118:M119),0)</f>
        <v>631735857</v>
      </c>
      <c r="N120" s="227"/>
      <c r="O120" s="381">
        <f>+ROUND(+SUM(O118:O119),0)</f>
        <v>-553723477</v>
      </c>
      <c r="P120" s="382">
        <f>+ROUND(+SUM(P118:P119),0)</f>
        <v>631821251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-139538</v>
      </c>
      <c r="G122" s="272">
        <f>+ROUND(G108+G112+G116+G120,0)</f>
        <v>85394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-553583939</v>
      </c>
      <c r="M122" s="272">
        <f>+ROUND(M108+M112+M116+M120,0)</f>
        <v>631735857</v>
      </c>
      <c r="N122" s="227"/>
      <c r="O122" s="385">
        <f>+ROUND(O108+O112+O116+O120,0)</f>
        <v>-553723477</v>
      </c>
      <c r="P122" s="392">
        <f>+ROUND(P108+P112+P116+P120,0)</f>
        <v>631821251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85447292</v>
      </c>
      <c r="G125" s="233">
        <v>-89084320</v>
      </c>
      <c r="H125" s="15"/>
      <c r="I125" s="234">
        <v>30354</v>
      </c>
      <c r="J125" s="233"/>
      <c r="K125" s="227"/>
      <c r="L125" s="234"/>
      <c r="M125" s="233"/>
      <c r="N125" s="227"/>
      <c r="O125" s="361">
        <f t="shared" si="7"/>
        <v>85477646</v>
      </c>
      <c r="P125" s="384">
        <f t="shared" si="7"/>
        <v>-89084320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39071507</v>
      </c>
      <c r="G126" s="233">
        <v>18601842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39071507</v>
      </c>
      <c r="P126" s="384">
        <f t="shared" si="7"/>
        <v>18601842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124518799</v>
      </c>
      <c r="G129" s="270">
        <f>+ROUND(+SUM(G124,G125,G126,G128),0)</f>
        <v>-70482478</v>
      </c>
      <c r="H129" s="15"/>
      <c r="I129" s="271">
        <f>+ROUND(+SUM(I124,I125,I126,I128),0)</f>
        <v>30354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124549153</v>
      </c>
      <c r="P129" s="387">
        <f>+ROUND(+SUM(P124,P125,P126,P128),0)</f>
        <v>-70482478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335274</v>
      </c>
      <c r="G131" s="229">
        <v>987159</v>
      </c>
      <c r="H131" s="15"/>
      <c r="I131" s="230"/>
      <c r="J131" s="229"/>
      <c r="K131" s="227"/>
      <c r="L131" s="230">
        <v>986370430</v>
      </c>
      <c r="M131" s="229">
        <v>354634573</v>
      </c>
      <c r="N131" s="227"/>
      <c r="O131" s="365">
        <f aca="true" t="shared" si="8" ref="O131:P133">+ROUND(+F131+I131+L131,0)</f>
        <v>986705704</v>
      </c>
      <c r="P131" s="378">
        <f t="shared" si="8"/>
        <v>355621732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>
        <v>1291</v>
      </c>
      <c r="H132" s="15"/>
      <c r="I132" s="234"/>
      <c r="J132" s="233"/>
      <c r="K132" s="227"/>
      <c r="L132" s="234"/>
      <c r="M132" s="233">
        <v>0</v>
      </c>
      <c r="N132" s="227"/>
      <c r="O132" s="361">
        <f t="shared" si="8"/>
        <v>0</v>
      </c>
      <c r="P132" s="384">
        <f t="shared" si="8"/>
        <v>1291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21156641</v>
      </c>
      <c r="G133" s="233">
        <v>335274</v>
      </c>
      <c r="H133" s="15"/>
      <c r="I133" s="234"/>
      <c r="J133" s="233"/>
      <c r="K133" s="227"/>
      <c r="L133" s="234">
        <v>432786491</v>
      </c>
      <c r="M133" s="233">
        <v>986370430</v>
      </c>
      <c r="N133" s="227"/>
      <c r="O133" s="361">
        <f t="shared" si="8"/>
        <v>453943132</v>
      </c>
      <c r="P133" s="384">
        <f t="shared" si="8"/>
        <v>986705704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20821367</v>
      </c>
      <c r="G134" s="275">
        <f>+ROUND(+G133-G131-G132,0)</f>
        <v>-653176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-553583939</v>
      </c>
      <c r="M134" s="275">
        <f>+ROUND(+M133-M131-M132,0)</f>
        <v>631735857</v>
      </c>
      <c r="N134" s="227"/>
      <c r="O134" s="394">
        <f>+ROUND(+O133-O131-O132,0)</f>
        <v>-532762572</v>
      </c>
      <c r="P134" s="395">
        <f>+ROUND(+P133-P131-P132,0)</f>
        <v>631082681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>
        <f>-2354766-6502</f>
        <v>-2361268</v>
      </c>
      <c r="G137" s="229">
        <v>2260550</v>
      </c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-2361268</v>
      </c>
      <c r="P137" s="378">
        <f t="shared" si="9"/>
        <v>2260550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>
        <f>1342918+5530</f>
        <v>1348448</v>
      </c>
      <c r="G139" s="233">
        <v>2361268</v>
      </c>
      <c r="H139" s="15"/>
      <c r="I139" s="234"/>
      <c r="J139" s="233"/>
      <c r="K139" s="227"/>
      <c r="L139" s="234"/>
      <c r="M139" s="233"/>
      <c r="N139" s="227"/>
      <c r="O139" s="361">
        <f t="shared" si="9"/>
        <v>1348448</v>
      </c>
      <c r="P139" s="384">
        <f t="shared" si="9"/>
        <v>2361268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3709716</v>
      </c>
      <c r="G140" s="275">
        <f>+ROUND(+G139-G137-G138,0)</f>
        <v>100718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3709716</v>
      </c>
      <c r="P140" s="395">
        <f>+ROUND(+P139-P137-P138,0)</f>
        <v>100718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24531083</v>
      </c>
      <c r="G142" s="539">
        <f>+G134+G140</f>
        <v>-552458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-553583939</v>
      </c>
      <c r="M142" s="539">
        <f>+M134+M140</f>
        <v>631735857</v>
      </c>
      <c r="N142" s="227"/>
      <c r="O142" s="394">
        <f>+O134+O140</f>
        <v>-529052856</v>
      </c>
      <c r="P142" s="395">
        <f>+P134+P140</f>
        <v>631183399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9052022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461</v>
      </c>
      <c r="G148" s="817"/>
      <c r="H148" s="817"/>
      <c r="I148" s="818"/>
      <c r="J148" s="346"/>
      <c r="K148" s="16"/>
      <c r="L148" s="346" t="s">
        <v>234</v>
      </c>
      <c r="M148" s="816" t="s">
        <v>460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22505089</v>
      </c>
      <c r="G160" s="580">
        <f>+G133+G139</f>
        <v>2696542</v>
      </c>
      <c r="I160" s="579">
        <f>+I133+I139</f>
        <v>0</v>
      </c>
      <c r="J160" s="580">
        <f>+J133+J139</f>
        <v>0</v>
      </c>
      <c r="K160" s="227"/>
      <c r="L160" s="579">
        <f>+L133+L139</f>
        <v>432786491</v>
      </c>
      <c r="M160" s="580">
        <f>+M133+M139</f>
        <v>986370430</v>
      </c>
      <c r="N160" s="227"/>
      <c r="O160" s="583">
        <f>+ROUND(+F160+I160+L160,0)</f>
        <v>455291580</v>
      </c>
      <c r="P160" s="584">
        <f>+ROUND(+G160+J160+M160,0)</f>
        <v>989066972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22505089</v>
      </c>
      <c r="G161" s="577">
        <v>2696542</v>
      </c>
      <c r="I161" s="576"/>
      <c r="J161" s="577"/>
      <c r="K161" s="227"/>
      <c r="L161" s="576">
        <v>432786491</v>
      </c>
      <c r="M161" s="577">
        <v>986370430</v>
      </c>
      <c r="N161" s="227"/>
      <c r="O161" s="585">
        <f>+ROUND(+F161+I161+L161,0)</f>
        <v>455291580</v>
      </c>
      <c r="P161" s="586">
        <f>+ROUND(+G161+J161+M161,0)</f>
        <v>989066972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31.03.2022 г.</v>
      </c>
      <c r="G162" s="570">
        <f>+G11</f>
        <v>2021</v>
      </c>
      <c r="I162" s="609" t="str">
        <f>+I11</f>
        <v>31.03.2022 г.</v>
      </c>
      <c r="J162" s="572">
        <f>+J11</f>
        <v>2021</v>
      </c>
      <c r="K162" s="11"/>
      <c r="L162" s="610" t="str">
        <f>+L11</f>
        <v>31.03.2022 г.</v>
      </c>
      <c r="M162" s="575">
        <f>+M11</f>
        <v>2021</v>
      </c>
      <c r="N162" s="11"/>
      <c r="O162" s="611" t="str">
        <f>+O11</f>
        <v>31.03.2022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zoomScalePageLayoutView="0" workbookViewId="0" topLeftCell="A1">
      <pane xSplit="5" ySplit="12" topLeftCell="F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7" sqref="C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НАЦИОНАЛЕН ОСИГУРИТЕЛЕН ИНСТИТУТ-ДОО</v>
      </c>
      <c r="C1" s="830"/>
      <c r="D1" s="830"/>
      <c r="E1" s="830"/>
      <c r="F1" s="831"/>
      <c r="G1" s="438" t="s">
        <v>244</v>
      </c>
      <c r="H1" s="121"/>
      <c r="I1" s="832" t="str">
        <f>+'Cash-Flow-2022-Leva'!I1:J1</f>
        <v>121 08 25 21</v>
      </c>
      <c r="J1" s="833"/>
      <c r="K1" s="439"/>
      <c r="L1" s="440" t="s">
        <v>245</v>
      </c>
      <c r="M1" s="441">
        <f>+'Cash-Flow-2022-Leva'!M1</f>
        <v>5500</v>
      </c>
      <c r="N1" s="439"/>
      <c r="O1" s="440" t="s">
        <v>239</v>
      </c>
      <c r="P1" s="451" t="str">
        <f>+'Cash-Flow-2022-Leva'!P1</f>
        <v>02 926 13 27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 t="str">
        <f>+'Cash-Flow-2022-Leva'!H3</f>
        <v>www.nssi.bg</v>
      </c>
      <c r="I3" s="843"/>
      <c r="J3" s="843"/>
      <c r="K3" s="844"/>
      <c r="L3" s="51" t="s">
        <v>246</v>
      </c>
      <c r="M3" s="845" t="str">
        <f>+'Cash-Flow-2022-Leva'!M3:P3</f>
        <v>Dimitar.Nedyalkov@nssi.bg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НАЦИОНАЛЕН ОСИГУРИТЕЛЕН ИНСТИТУТ-ДОО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31.03.2022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31.03.2022 г.</v>
      </c>
      <c r="G11" s="396">
        <f>+'Cash-Flow-2022-Leva'!G11</f>
        <v>2021</v>
      </c>
      <c r="H11" s="5"/>
      <c r="I11" s="604" t="str">
        <f>+O8</f>
        <v>31.03.2022 г.</v>
      </c>
      <c r="J11" s="397">
        <f>+'Cash-Flow-2022-Leva'!J11</f>
        <v>2021</v>
      </c>
      <c r="K11" s="5"/>
      <c r="L11" s="605" t="str">
        <f>+O8</f>
        <v>31.03.2022 г.</v>
      </c>
      <c r="M11" s="398">
        <f>+'Cash-Flow-2022-Leva'!M11</f>
        <v>2021</v>
      </c>
      <c r="N11" s="464"/>
      <c r="O11" s="606" t="str">
        <f>+O8</f>
        <v>31.03.2022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2183652.963</v>
      </c>
      <c r="G15" s="255">
        <f>+'Cash-Flow-2022-Leva'!G15/1000</f>
        <v>8756011.72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2183652.963</v>
      </c>
      <c r="P15" s="378">
        <f aca="true" t="shared" si="1" ref="P15:P24">+G15+J15+M15</f>
        <v>8756011.72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6582.53</v>
      </c>
      <c r="G18" s="255">
        <f>+'Cash-Flow-2022-Leva'!G18/1000</f>
        <v>22296.514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6582.53</v>
      </c>
      <c r="P18" s="378">
        <f t="shared" si="1"/>
        <v>22296.514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1265.425</v>
      </c>
      <c r="G19" s="278">
        <f>+'Cash-Flow-2022-Leva'!G19/1000</f>
        <v>5141.149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1265.425</v>
      </c>
      <c r="P19" s="412">
        <f t="shared" si="1"/>
        <v>5141.149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9.675</v>
      </c>
      <c r="G20" s="278">
        <f>+'Cash-Flow-2022-Leva'!G20/1000</f>
        <v>38.182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9.675</v>
      </c>
      <c r="P20" s="412">
        <f t="shared" si="1"/>
        <v>38.182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237.367</v>
      </c>
      <c r="G22" s="278">
        <f>+'Cash-Flow-2022-Leva'!G22/1000</f>
        <v>835.72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237.367</v>
      </c>
      <c r="P22" s="412">
        <f t="shared" si="1"/>
        <v>835.72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22483.579</v>
      </c>
      <c r="G24" s="267">
        <f>+'Cash-Flow-2022-Leva'!G24/1000</f>
        <v>392215.478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22483.579</v>
      </c>
      <c r="P24" s="384">
        <f t="shared" si="1"/>
        <v>392215.478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2214231.5389999994</v>
      </c>
      <c r="G25" s="235">
        <f>+SUM(G15,G16,G18,G19,G20,G21,G22,G23,G24)</f>
        <v>9176538.763000002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2214231.5389999994</v>
      </c>
      <c r="P25" s="363">
        <f>+SUM(P15,P16,P18,P19,P20,P21,P22,P23,P24)</f>
        <v>9176538.763000002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-820.998</v>
      </c>
      <c r="G37" s="235">
        <f>+'Cash-Flow-2022-Leva'!G37/1000</f>
        <v>-1017.704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-820.998</v>
      </c>
      <c r="P37" s="363">
        <f t="shared" si="3"/>
        <v>-1017.704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-210.749</v>
      </c>
      <c r="G38" s="280">
        <f>+'Cash-Flow-2022-Leva'!G38/1000</f>
        <v>-857.839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-210.749</v>
      </c>
      <c r="P38" s="413">
        <f t="shared" si="3"/>
        <v>-857.839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-129.758</v>
      </c>
      <c r="G39" s="282">
        <f>+'Cash-Flow-2022-Leva'!G39/1000</f>
        <v>-122.536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-129.758</v>
      </c>
      <c r="P39" s="414">
        <f t="shared" si="3"/>
        <v>-122.536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0.628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0.628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2213410.5409999993</v>
      </c>
      <c r="G50" s="257">
        <f>+G25+G30+G37+G42+G48</f>
        <v>9175521.687000003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2213410.5409999993</v>
      </c>
      <c r="P50" s="380">
        <f>+P25+P30+P37+P42+P48</f>
        <v>9175521.687000003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10674.288</v>
      </c>
      <c r="G53" s="228">
        <f>+'Cash-Flow-2022-Leva'!G53/1000</f>
        <v>44951.863</v>
      </c>
      <c r="H53" s="277"/>
      <c r="I53" s="238">
        <f>+'Cash-Flow-2022-Leva'!I53/1000</f>
        <v>935.52</v>
      </c>
      <c r="J53" s="228">
        <f>+'Cash-Flow-2022-Leva'!J53/1000</f>
        <v>439.784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11609.808</v>
      </c>
      <c r="P53" s="359">
        <f t="shared" si="5"/>
        <v>45391.647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2.219</v>
      </c>
      <c r="G54" s="267">
        <f>+'Cash-Flow-2022-Leva'!G54/1000</f>
        <v>79.526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2.219</v>
      </c>
      <c r="P54" s="384">
        <f t="shared" si="5"/>
        <v>79.526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369.469</v>
      </c>
      <c r="G55" s="267">
        <f>+'Cash-Flow-2022-Leva'!G55/1000</f>
        <v>475.484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369.469</v>
      </c>
      <c r="P55" s="384">
        <f t="shared" si="5"/>
        <v>475.484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17690.596</v>
      </c>
      <c r="G56" s="267">
        <f>+'Cash-Flow-2022-Leva'!G56/1000</f>
        <v>71716.263</v>
      </c>
      <c r="H56" s="277"/>
      <c r="I56" s="268">
        <f>+'Cash-Flow-2022-Leva'!I56/1000</f>
        <v>22.315</v>
      </c>
      <c r="J56" s="267">
        <f>+'Cash-Flow-2022-Leva'!J56/1000</f>
        <v>68.682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17712.911</v>
      </c>
      <c r="P56" s="384">
        <f t="shared" si="5"/>
        <v>71784.945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4969.834</v>
      </c>
      <c r="G57" s="267">
        <f>+'Cash-Flow-2022-Leva'!G57/1000</f>
        <v>20557.136</v>
      </c>
      <c r="H57" s="277"/>
      <c r="I57" s="268">
        <f>+'Cash-Flow-2022-Leva'!I57/1000</f>
        <v>7.467</v>
      </c>
      <c r="J57" s="267">
        <f>+'Cash-Flow-2022-Leva'!J57/1000</f>
        <v>22.088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4977.3009999999995</v>
      </c>
      <c r="P57" s="384">
        <f t="shared" si="5"/>
        <v>20579.224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33706.406</v>
      </c>
      <c r="G58" s="261">
        <f>+SUM(G53:G57)</f>
        <v>137780.272</v>
      </c>
      <c r="H58" s="277"/>
      <c r="I58" s="262">
        <f>+SUM(I53:I57)</f>
        <v>965.302</v>
      </c>
      <c r="J58" s="261">
        <f>+SUM(J53:J57)</f>
        <v>530.554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34671.708</v>
      </c>
      <c r="P58" s="382">
        <f>+SUM(P53:P57)</f>
        <v>138310.826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36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36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13.336</v>
      </c>
      <c r="G61" s="267">
        <f>+'Cash-Flow-2022-Leva'!G61/1000</f>
        <v>7094.809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13.336</v>
      </c>
      <c r="P61" s="384">
        <f t="shared" si="6"/>
        <v>7094.809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22.44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22.44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13.336</v>
      </c>
      <c r="G65" s="261">
        <f>+SUM(G60:G63)</f>
        <v>7153.249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13.336</v>
      </c>
      <c r="P65" s="382">
        <f>+SUM(P60:P63)</f>
        <v>7153.249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3950430.206</v>
      </c>
      <c r="G71" s="228">
        <f>+'Cash-Flow-2022-Leva'!G71/1000</f>
        <v>16345894.14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3950430.206</v>
      </c>
      <c r="P71" s="359">
        <f>+G71+J71+M71</f>
        <v>16345894.14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234.646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234.646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3950430.206</v>
      </c>
      <c r="G73" s="261">
        <f>+SUM(G71:G72)</f>
        <v>16346128.786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3950430.206</v>
      </c>
      <c r="P73" s="382">
        <f>+SUM(P71:P72)</f>
        <v>16346128.786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-5238.944</v>
      </c>
      <c r="G75" s="228">
        <f>+'Cash-Flow-2022-Leva'!G75/1000</f>
        <v>823459.273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-5238.944</v>
      </c>
      <c r="P75" s="359">
        <f>+G75+J75+M75</f>
        <v>823459.273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-5238.944</v>
      </c>
      <c r="G77" s="261">
        <f>+SUM(G75:G76)</f>
        <v>823459.273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-5238.944</v>
      </c>
      <c r="P77" s="382">
        <f>+SUM(P75:P76)</f>
        <v>823459.273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3978911.0039999997</v>
      </c>
      <c r="G79" s="272">
        <f>+G58+G65+G69+G73+G77</f>
        <v>17314521.58</v>
      </c>
      <c r="H79" s="277"/>
      <c r="I79" s="269">
        <f>+I58+I65+I69+I73+I77</f>
        <v>965.302</v>
      </c>
      <c r="J79" s="272">
        <f>+J58+J65+J69+J73+J77</f>
        <v>530.554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3979876.306</v>
      </c>
      <c r="P79" s="392">
        <f>+P58+P65+P69+P73+P77</f>
        <v>17315052.134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1656480.034</v>
      </c>
      <c r="G81" s="255">
        <f>+'Cash-Flow-2022-Leva'!G81/1000</f>
        <v>8208095.365</v>
      </c>
      <c r="H81" s="277"/>
      <c r="I81" s="256">
        <f>+'Cash-Flow-2022-Leva'!I81/1000</f>
        <v>934.948</v>
      </c>
      <c r="J81" s="255">
        <f>+'Cash-Flow-2022-Leva'!J81/1000</f>
        <v>530.554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1657414.982</v>
      </c>
      <c r="P81" s="378">
        <f>+G81+J81+M81</f>
        <v>8208625.919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1656480.034</v>
      </c>
      <c r="G83" s="270">
        <f>+G81+G82</f>
        <v>8208095.365</v>
      </c>
      <c r="H83" s="277"/>
      <c r="I83" s="271">
        <f>+I81+I82</f>
        <v>934.948</v>
      </c>
      <c r="J83" s="270">
        <f>+J81+J82</f>
        <v>530.554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1657414.982</v>
      </c>
      <c r="P83" s="387">
        <f>+P81+P82</f>
        <v>8208625.919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-109020.42900000047</v>
      </c>
      <c r="G85" s="291">
        <f>+G50-G79+G83</f>
        <v>69095.47200000472</v>
      </c>
      <c r="H85" s="277"/>
      <c r="I85" s="292">
        <f>+I50-I79+I83</f>
        <v>-30.354000000000042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-109050.78300000052</v>
      </c>
      <c r="P85" s="389">
        <f>+P50-P79+P83</f>
        <v>69095.47200000286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109020.429</v>
      </c>
      <c r="G86" s="293">
        <f>+G103+G122+G129-G134</f>
        <v>-69095.472</v>
      </c>
      <c r="H86" s="277"/>
      <c r="I86" s="294">
        <f>+I103+I122+I129-I134</f>
        <v>30.354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109050.78300000011</v>
      </c>
      <c r="P86" s="391">
        <f>+P103+P122+P129-P134</f>
        <v>-69095.47200000018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5462.535</v>
      </c>
      <c r="G100" s="267">
        <f>+'Cash-Flow-2022-Leva'!G100/1000</f>
        <v>648.436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5462.535</v>
      </c>
      <c r="P100" s="384">
        <f>+G100+J100+M100</f>
        <v>648.436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5462.535</v>
      </c>
      <c r="G101" s="235">
        <f>+SUM(G99:G100)</f>
        <v>648.436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5462.535</v>
      </c>
      <c r="P101" s="363">
        <f>+SUM(P99:P100)</f>
        <v>648.436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5462.535</v>
      </c>
      <c r="G103" s="257">
        <f>+G91+G97+G101</f>
        <v>648.436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5462.535</v>
      </c>
      <c r="P103" s="380">
        <f>+P91+P97+P101</f>
        <v>648.436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23.606</v>
      </c>
      <c r="G118" s="228">
        <f>+'Cash-Flow-2022-Leva'!G118/1000</f>
        <v>19.527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-553583.939</v>
      </c>
      <c r="M118" s="228">
        <f>+'Cash-Flow-2022-Leva'!M118/1000</f>
        <v>631735.857</v>
      </c>
      <c r="N118" s="465"/>
      <c r="O118" s="366">
        <f>+F118+I118+L118</f>
        <v>-553560.333</v>
      </c>
      <c r="P118" s="359">
        <f>+G118+J118+M118</f>
        <v>631755.384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-163.144</v>
      </c>
      <c r="G119" s="267">
        <f>+'Cash-Flow-2022-Leva'!G119/1000</f>
        <v>65.867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-163.144</v>
      </c>
      <c r="P119" s="384">
        <f>+G119+J119+M119</f>
        <v>65.867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-139.538</v>
      </c>
      <c r="G120" s="261">
        <f>+SUM(G118:G119)</f>
        <v>85.394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-553583.939</v>
      </c>
      <c r="M120" s="261">
        <f>+SUM(M118:M119)</f>
        <v>631735.857</v>
      </c>
      <c r="N120" s="465"/>
      <c r="O120" s="381">
        <f>+SUM(O118:O119)</f>
        <v>-553723.477</v>
      </c>
      <c r="P120" s="382">
        <f>+SUM(P118:P119)</f>
        <v>631821.2509999999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-139.538</v>
      </c>
      <c r="G122" s="272">
        <f>+G108+G112+G116+G120</f>
        <v>85.394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-553583.939</v>
      </c>
      <c r="M122" s="272">
        <f>+M108+M112+M116+M120</f>
        <v>631735.857</v>
      </c>
      <c r="N122" s="465"/>
      <c r="O122" s="385">
        <f>+O108+O112+O116+O120</f>
        <v>-553723.477</v>
      </c>
      <c r="P122" s="392">
        <f>+P108+P112+P116+P120</f>
        <v>631821.2509999999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85447.292</v>
      </c>
      <c r="G125" s="267">
        <f>+'Cash-Flow-2022-Leva'!G125/1000</f>
        <v>-89084.32</v>
      </c>
      <c r="H125" s="277"/>
      <c r="I125" s="268">
        <f>+'Cash-Flow-2022-Leva'!I125/1000</f>
        <v>30.354</v>
      </c>
      <c r="J125" s="267">
        <f>+'Cash-Flow-2022-Leva'!J125/1000</f>
        <v>0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85477.64600000001</v>
      </c>
      <c r="P125" s="384">
        <f t="shared" si="8"/>
        <v>-89084.32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39071.507</v>
      </c>
      <c r="G126" s="267">
        <f>+'Cash-Flow-2022-Leva'!G126/1000</f>
        <v>18601.842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39071.507</v>
      </c>
      <c r="P126" s="384">
        <f t="shared" si="8"/>
        <v>18601.842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124518.799</v>
      </c>
      <c r="G129" s="270">
        <f>+SUM(G124,G125,G126,G128)</f>
        <v>-70482.478</v>
      </c>
      <c r="H129" s="277"/>
      <c r="I129" s="271">
        <f>+SUM(I124,I125,I126,I128)</f>
        <v>30.354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124549.153</v>
      </c>
      <c r="P129" s="387">
        <f>+SUM(P124,P125,P126,P128)</f>
        <v>-70482.478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335.274</v>
      </c>
      <c r="G131" s="255">
        <f>+'Cash-Flow-2022-Leva'!G131/1000</f>
        <v>987.159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986370.43</v>
      </c>
      <c r="M131" s="255">
        <f>+'Cash-Flow-2022-Leva'!M131/1000</f>
        <v>354634.573</v>
      </c>
      <c r="N131" s="465"/>
      <c r="O131" s="365">
        <f aca="true" t="shared" si="9" ref="O131:P133">+F131+I131+L131</f>
        <v>986705.704</v>
      </c>
      <c r="P131" s="378">
        <f t="shared" si="9"/>
        <v>355621.73199999996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1.291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1.291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21156.641</v>
      </c>
      <c r="G133" s="267">
        <f>+'Cash-Flow-2022-Leva'!G133/1000</f>
        <v>335.274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432786.491</v>
      </c>
      <c r="M133" s="267">
        <f>+'Cash-Flow-2022-Leva'!M133/1000</f>
        <v>986370.43</v>
      </c>
      <c r="N133" s="465"/>
      <c r="O133" s="361">
        <f t="shared" si="9"/>
        <v>453943.132</v>
      </c>
      <c r="P133" s="384">
        <f t="shared" si="9"/>
        <v>986705.704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20821.367</v>
      </c>
      <c r="G134" s="275">
        <f>+G133-G131-G132</f>
        <v>-653.176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-553583.939</v>
      </c>
      <c r="M134" s="275">
        <f>+M133-M131-M132</f>
        <v>631735.8570000001</v>
      </c>
      <c r="N134" s="465"/>
      <c r="O134" s="394">
        <f>+O133-O131-O132</f>
        <v>-532762.572</v>
      </c>
      <c r="P134" s="395">
        <f>+P133-P131-P132</f>
        <v>631082.6810000001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-2361.268</v>
      </c>
      <c r="G137" s="255">
        <f>+'Cash-Flow-2022-Leva'!G137/1000</f>
        <v>2260.55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-2361.268</v>
      </c>
      <c r="P137" s="378">
        <f t="shared" si="10"/>
        <v>2260.55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1348.448</v>
      </c>
      <c r="G139" s="267">
        <f>+'Cash-Flow-2022-Leva'!G139/1000</f>
        <v>2361.268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1348.448</v>
      </c>
      <c r="P139" s="384">
        <f t="shared" si="10"/>
        <v>2361.268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3709.7160000000003</v>
      </c>
      <c r="G140" s="275">
        <f>+G139-G137-G138</f>
        <v>100.71799999999985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3709.7160000000003</v>
      </c>
      <c r="P140" s="395">
        <f>+P139-P137-P138</f>
        <v>100.71799999999985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24531.083</v>
      </c>
      <c r="G142" s="275">
        <f>+G134+G140</f>
        <v>-552.4580000000002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-553583.939</v>
      </c>
      <c r="M142" s="539">
        <f>+M134+M140</f>
        <v>631735.8570000001</v>
      </c>
      <c r="N142" s="465"/>
      <c r="O142" s="563">
        <f>+O134+O140</f>
        <v>-529052.856</v>
      </c>
      <c r="P142" s="564">
        <f>+P134+P140</f>
        <v>631183.3990000001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9052022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Таня Б. Жекова</cp:lastModifiedBy>
  <cp:lastPrinted>2022-04-26T07:35:39Z</cp:lastPrinted>
  <dcterms:created xsi:type="dcterms:W3CDTF">2015-12-01T07:17:04Z</dcterms:created>
  <dcterms:modified xsi:type="dcterms:W3CDTF">2022-05-09T08:24:48Z</dcterms:modified>
  <cp:category/>
  <cp:version/>
  <cp:contentType/>
  <cp:contentStatus/>
</cp:coreProperties>
</file>