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<sst xmlns="http://schemas.openxmlformats.org/spreadsheetml/2006/main" count="3463" uniqueCount="2219">
  <si>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</si>
  <si>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</si>
  <si>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</si>
  <si>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</si>
  <si>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</si>
  <si>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</si>
  <si>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</si>
  <si>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</si>
  <si>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</si>
  <si>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</si>
  <si>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</si>
  <si>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</si>
  <si>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</si>
  <si>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</si>
  <si>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</si>
  <si>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</si>
  <si>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</si>
  <si>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</si>
  <si>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</si>
  <si>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</si>
  <si>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</si>
  <si>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</si>
  <si>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</si>
  <si>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</si>
  <si>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</si>
  <si>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</si>
  <si>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</si>
  <si>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</si>
  <si>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</si>
  <si>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</si>
  <si>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</si>
  <si>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</si>
  <si>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</si>
  <si>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</si>
  <si>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</si>
  <si>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</si>
  <si>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</si>
  <si>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</si>
  <si>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</si>
  <si>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</si>
  <si>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</si>
  <si>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</si>
  <si>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</si>
  <si>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</si>
  <si>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</si>
  <si>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</si>
  <si>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</si>
  <si>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</si>
  <si>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</si>
  <si>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</si>
  <si>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</si>
  <si>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</si>
  <si>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</si>
  <si>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</si>
  <si>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</si>
  <si>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</si>
  <si>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</si>
  <si>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</si>
  <si>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</si>
  <si>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</si>
  <si>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</si>
  <si>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</si>
  <si>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</si>
  <si>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</si>
  <si>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</si>
  <si>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</si>
  <si>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</si>
  <si>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</si>
  <si>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</si>
  <si>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</si>
  <si>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</si>
  <si>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</si>
  <si>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</si>
  <si>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</si>
  <si>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</si>
  <si>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</si>
  <si>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</si>
  <si>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</si>
  <si>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</si>
  <si>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</si>
  <si>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</si>
  <si>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</si>
  <si>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</si>
  <si>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</si>
  <si>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</si>
  <si>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</si>
  <si>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</si>
  <si>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</si>
  <si>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</si>
  <si>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</si>
  <si>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</si>
  <si>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</si>
  <si>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</si>
  <si>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</si>
  <si>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</si>
  <si>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</si>
  <si>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</si>
  <si>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</si>
  <si>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</si>
  <si>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</si>
  <si>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</si>
  <si>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</si>
  <si>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</si>
  <si>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</si>
  <si>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</si>
  <si>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</si>
  <si>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</si>
  <si>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</si>
  <si>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</si>
  <si>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</si>
  <si>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</si>
  <si>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</si>
  <si>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</si>
  <si>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</si>
  <si>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</si>
  <si>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</si>
  <si>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</si>
  <si>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</si>
  <si>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</si>
  <si>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</si>
  <si>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</si>
  <si>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</si>
  <si>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</si>
  <si>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</si>
  <si>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</si>
  <si>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</si>
  <si>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</si>
  <si>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</si>
  <si>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</si>
  <si>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</si>
  <si>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</si>
  <si>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</si>
  <si>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</si>
  <si>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</si>
  <si>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</si>
  <si>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</si>
  <si>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</si>
  <si>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</si>
  <si>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</si>
  <si>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</si>
  <si>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</si>
  <si>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</si>
  <si>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</si>
  <si>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</si>
  <si>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</si>
  <si>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</si>
  <si>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</si>
  <si>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</si>
  <si>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</si>
  <si>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</si>
  <si>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</si>
  <si>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</si>
  <si>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</si>
  <si>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</si>
  <si>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</si>
  <si>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</si>
  <si>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</si>
  <si>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</si>
  <si>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</si>
  <si>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</si>
  <si>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</si>
  <si>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</si>
  <si>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</si>
  <si>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</si>
  <si>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</si>
  <si>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</si>
  <si>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</si>
  <si>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</si>
  <si>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</si>
  <si>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</si>
  <si>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</si>
  <si>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</si>
  <si>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</si>
  <si>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</si>
  <si>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</si>
  <si>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</si>
  <si>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</si>
  <si>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</si>
  <si>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</si>
  <si>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</si>
  <si>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</si>
  <si>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</si>
  <si>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</si>
  <si>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</si>
  <si>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</si>
  <si>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</si>
  <si>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</si>
  <si>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</si>
  <si>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</si>
  <si>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</si>
  <si>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</si>
  <si>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</si>
  <si>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</si>
  <si>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</si>
  <si>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</si>
  <si>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</si>
  <si>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</si>
  <si>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</si>
  <si>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</si>
  <si>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</si>
  <si>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</si>
  <si>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</si>
  <si>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</si>
  <si>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</si>
  <si>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</si>
  <si>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</si>
  <si>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</si>
  <si>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</si>
  <si>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</si>
  <si>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</si>
  <si>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</si>
  <si>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</si>
  <si>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</si>
  <si>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</si>
  <si>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</si>
  <si>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</si>
  <si>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</si>
  <si>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</si>
  <si>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</si>
  <si>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</si>
  <si>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</si>
  <si>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</si>
  <si>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</si>
  <si>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</si>
  <si>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</si>
  <si>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</si>
  <si>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</si>
  <si>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</si>
  <si>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</si>
  <si>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</si>
  <si>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</si>
  <si>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</si>
  <si>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</si>
  <si>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</si>
  <si>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</si>
  <si>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</si>
  <si>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</si>
  <si>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</si>
  <si>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</si>
  <si>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</si>
  <si>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</si>
  <si>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</si>
  <si>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</si>
  <si>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</si>
  <si>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</si>
  <si>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</si>
  <si>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</si>
  <si>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</si>
  <si>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</si>
  <si>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</si>
  <si>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</si>
  <si>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</si>
  <si>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</si>
  <si>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</si>
  <si>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</si>
  <si>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</si>
  <si>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</si>
  <si>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</si>
  <si>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</si>
  <si>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</si>
  <si>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</si>
  <si>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</si>
  <si>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</si>
  <si>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</si>
  <si>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</si>
  <si>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</si>
  <si>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</si>
  <si>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</si>
  <si>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</si>
  <si>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</si>
  <si>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</si>
  <si>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</si>
  <si>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</si>
  <si>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</si>
  <si>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</si>
  <si>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</si>
  <si>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</si>
  <si>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</si>
  <si>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</si>
  <si>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</si>
  <si>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</si>
  <si>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</si>
  <si>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</si>
  <si>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</si>
  <si>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</si>
  <si>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</si>
  <si>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</si>
  <si>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</si>
  <si>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</si>
  <si>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</si>
  <si>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</si>
  <si>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</si>
  <si>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</si>
  <si>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</si>
  <si>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</si>
  <si>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</si>
  <si>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</si>
  <si>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</si>
  <si>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</si>
  <si>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</si>
  <si>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</si>
  <si>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</si>
  <si>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</si>
  <si>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</si>
  <si>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</si>
  <si>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</si>
  <si>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</si>
  <si>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</si>
  <si>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</si>
  <si>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</si>
  <si>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</si>
  <si>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</si>
  <si>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</si>
  <si>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</si>
  <si>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</si>
  <si>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</si>
  <si>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</si>
  <si>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</si>
  <si>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</si>
  <si>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</si>
  <si>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</si>
  <si>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</si>
  <si>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</si>
  <si>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</si>
  <si>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</si>
  <si>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</si>
  <si>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</si>
  <si>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</si>
  <si>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</si>
  <si>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</si>
  <si>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</si>
  <si>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</si>
  <si>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</si>
  <si>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</si>
  <si>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</si>
  <si>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</si>
  <si>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</si>
  <si>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</si>
  <si>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</si>
  <si>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</si>
  <si>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</si>
  <si>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</si>
  <si>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</si>
  <si>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</si>
  <si>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</si>
  <si>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</si>
  <si>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</si>
  <si>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</si>
  <si>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</si>
  <si>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</si>
  <si>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</si>
  <si>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</si>
  <si>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</si>
  <si>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</si>
  <si>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</si>
  <si>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</si>
  <si>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</si>
  <si>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</si>
  <si>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</si>
  <si>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</si>
  <si>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</si>
  <si>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</si>
  <si>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</si>
  <si>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</si>
  <si>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</si>
  <si>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</si>
  <si>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</si>
  <si>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</si>
  <si>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</si>
  <si>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</si>
  <si>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</si>
  <si>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</si>
  <si>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</si>
  <si>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</si>
  <si>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</si>
  <si>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</si>
  <si>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</si>
  <si>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</si>
  <si>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</si>
  <si>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</si>
  <si>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</si>
  <si>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</si>
  <si>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</si>
  <si>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</si>
  <si>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</si>
  <si>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</si>
  <si>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</si>
  <si>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</si>
  <si>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</si>
  <si>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</si>
  <si>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</si>
  <si>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</si>
  <si>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</si>
  <si>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</si>
  <si>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</si>
  <si>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</si>
  <si>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</si>
  <si>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</si>
  <si>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</si>
  <si>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</si>
  <si>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</si>
  <si>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</si>
  <si>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</si>
  <si>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</si>
  <si>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</si>
  <si>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</si>
  <si>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</si>
  <si>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</si>
  <si>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</si>
  <si>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</si>
  <si>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</si>
  <si>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</si>
  <si>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</si>
  <si>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</si>
  <si>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</si>
  <si>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</si>
  <si>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</si>
  <si>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</si>
  <si>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</si>
  <si>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</si>
  <si>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</si>
  <si>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</si>
  <si>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</si>
  <si>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</si>
  <si>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</si>
  <si>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</si>
  <si>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</si>
  <si>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</si>
  <si>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</si>
  <si>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</si>
  <si>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</si>
  <si>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</si>
  <si>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</si>
  <si>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</si>
  <si>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</si>
  <si>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</si>
  <si>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</si>
  <si>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</si>
  <si>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</si>
  <si>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</si>
  <si>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</si>
  <si>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</si>
  <si>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</si>
  <si>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</si>
  <si>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</si>
  <si>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</si>
  <si>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</si>
  <si>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</si>
  <si>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</si>
  <si>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</si>
  <si>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</si>
  <si>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</si>
  <si>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</si>
  <si>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</si>
  <si>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</si>
  <si>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</si>
  <si>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</si>
  <si>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</si>
  <si>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</si>
  <si>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</si>
  <si>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</si>
  <si>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</si>
  <si>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</si>
  <si>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</si>
  <si>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</si>
  <si>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</si>
  <si>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</si>
  <si>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</si>
  <si>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</si>
  <si>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</si>
  <si>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</si>
  <si>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</si>
  <si>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</si>
  <si>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</si>
  <si>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</si>
  <si>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</si>
  <si>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</si>
  <si>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</si>
  <si>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</si>
  <si>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</si>
  <si>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</si>
  <si>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</si>
  <si>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</si>
  <si>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</si>
  <si>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</si>
  <si>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</si>
  <si>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</si>
  <si>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</si>
  <si>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</si>
  <si>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</si>
  <si>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</si>
  <si>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</si>
  <si>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</si>
  <si>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</si>
  <si>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</si>
  <si>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</si>
  <si>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</si>
  <si>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</si>
  <si>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</si>
  <si>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</si>
  <si>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</si>
  <si>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</si>
  <si>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</si>
  <si>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</si>
  <si>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</si>
  <si>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</si>
  <si>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</si>
  <si>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</si>
  <si>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</si>
  <si>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</si>
  <si>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</si>
  <si>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</si>
  <si>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</si>
  <si>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</si>
  <si>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</si>
  <si>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</si>
  <si>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</si>
  <si>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</si>
  <si>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</si>
  <si>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</si>
  <si>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</si>
  <si>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</si>
  <si>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</si>
  <si>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</si>
  <si>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</si>
  <si>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</si>
  <si>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</si>
  <si>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</si>
  <si>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</si>
  <si>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</si>
  <si>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</si>
  <si>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</si>
  <si>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</si>
  <si>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</si>
  <si>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</si>
  <si>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</si>
  <si>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</si>
  <si>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</si>
  <si>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</si>
  <si>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</si>
  <si>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</si>
  <si>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</si>
  <si>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</si>
  <si>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</si>
  <si>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</si>
  <si>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</si>
  <si>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</si>
  <si>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</si>
  <si>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</si>
  <si>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</si>
  <si>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</si>
  <si>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</si>
  <si>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</si>
  <si>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</si>
  <si>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</si>
  <si>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</si>
  <si>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</si>
  <si>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</si>
  <si>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</si>
  <si>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</si>
  <si>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</si>
  <si>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</si>
  <si>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</si>
  <si>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</si>
  <si>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</si>
  <si>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</si>
  <si>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</si>
  <si>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</si>
  <si>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</si>
  <si>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</si>
  <si>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</si>
  <si>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</si>
  <si>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</si>
  <si>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</si>
  <si>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</si>
  <si>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</si>
  <si>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</si>
  <si>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</si>
  <si>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</si>
  <si>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</si>
  <si>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</si>
  <si>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</si>
  <si>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</si>
  <si>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</si>
  <si>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</si>
  <si>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</si>
  <si>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</si>
  <si>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</si>
  <si>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</si>
  <si>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</si>
  <si>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</si>
  <si>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</si>
  <si>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</si>
  <si>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</si>
  <si>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</si>
  <si>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</si>
  <si>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</si>
  <si>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</si>
  <si>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</si>
  <si>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</si>
  <si>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</si>
  <si>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</si>
  <si>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</si>
  <si>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</si>
  <si>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</si>
  <si>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</si>
  <si>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</si>
  <si>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</si>
  <si>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</si>
  <si>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</si>
  <si>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</si>
  <si>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</si>
  <si>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</si>
  <si>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</si>
  <si>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</si>
  <si>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</si>
  <si>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</si>
  <si>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</si>
  <si>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</si>
  <si>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</si>
  <si>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</si>
  <si>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</si>
  <si>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</si>
  <si>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</si>
  <si>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</si>
  <si>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</si>
  <si>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</si>
  <si>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</si>
  <si>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</si>
  <si>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</si>
  <si>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</si>
  <si>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</si>
  <si>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</si>
  <si>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</si>
  <si>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</si>
  <si>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</si>
  <si>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</si>
  <si>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</si>
  <si>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</si>
  <si>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</si>
  <si>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</si>
  <si>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</si>
  <si>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</si>
  <si>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</si>
  <si>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</si>
  <si>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</si>
  <si>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</si>
  <si>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</si>
  <si>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</si>
  <si>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</si>
  <si>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</si>
  <si>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</si>
  <si>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</si>
  <si>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</si>
  <si>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</si>
  <si>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</si>
  <si>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</si>
  <si>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</si>
  <si>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</si>
  <si>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</si>
  <si>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</si>
  <si>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</si>
  <si>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</si>
  <si>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</si>
  <si>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</si>
  <si>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</si>
  <si>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</si>
  <si>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</si>
  <si>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</si>
  <si>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</si>
  <si>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</si>
  <si>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</si>
  <si>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</si>
  <si>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</si>
  <si>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</si>
  <si>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</si>
  <si>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</si>
  <si>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</si>
  <si>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</si>
  <si>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</si>
  <si>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</si>
  <si>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</si>
  <si>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</si>
  <si>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</si>
  <si>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</si>
  <si>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</si>
  <si>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</si>
  <si>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</si>
  <si>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</si>
  <si>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</si>
  <si>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</si>
  <si>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</si>
  <si>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</si>
  <si>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</si>
  <si>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</si>
  <si>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</si>
  <si>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</si>
  <si>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</si>
  <si>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</si>
  <si>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</si>
  <si>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</si>
  <si>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</si>
  <si>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</si>
  <si>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</si>
  <si>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</si>
  <si>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</si>
  <si>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</si>
  <si>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</si>
  <si>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</si>
  <si>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</si>
  <si>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</si>
  <si>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</si>
  <si>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</si>
  <si>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</si>
  <si>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</si>
  <si>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</si>
  <si>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</si>
  <si>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</si>
  <si>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</si>
  <si>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</si>
  <si>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</si>
  <si>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</si>
  <si>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</si>
  <si>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</si>
  <si>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</si>
  <si>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</si>
  <si>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</si>
  <si>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</si>
  <si>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</si>
  <si>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</si>
  <si>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</si>
  <si>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</si>
  <si>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</si>
  <si>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</si>
  <si>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</si>
  <si>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</si>
  <si>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</si>
  <si>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</si>
  <si>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</si>
  <si>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</si>
  <si>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</si>
  <si>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</si>
  <si>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</si>
  <si>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</si>
  <si>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</si>
  <si>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</si>
  <si>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</si>
  <si>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</si>
  <si>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</si>
  <si>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</si>
  <si>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</si>
  <si>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</si>
  <si>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</si>
  <si>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</si>
  <si>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</si>
  <si>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</si>
  <si>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</si>
  <si>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</si>
  <si>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</si>
  <si>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</si>
  <si>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</si>
  <si>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</si>
  <si>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</si>
  <si>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</si>
  <si>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</si>
  <si>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</si>
  <si>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</si>
  <si>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</si>
  <si>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</si>
  <si>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</si>
  <si>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</si>
  <si>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</si>
  <si>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</si>
  <si>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</si>
  <si>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</si>
  <si>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</si>
  <si>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</si>
  <si>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</si>
  <si>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</si>
  <si>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</si>
  <si>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</si>
  <si>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</si>
  <si>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</si>
  <si>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</si>
  <si>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</si>
  <si>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</si>
  <si>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</si>
  <si>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</si>
  <si>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</si>
  <si>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</si>
  <si>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</si>
  <si>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</si>
  <si>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</si>
  <si>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</si>
  <si>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</si>
  <si>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</si>
  <si>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</si>
  <si>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</si>
  <si>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</si>
  <si>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</si>
  <si>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</si>
  <si>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</si>
  <si>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</si>
  <si>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</si>
  <si>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</si>
  <si>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</si>
  <si>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</si>
  <si>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</si>
  <si>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</si>
  <si>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</si>
  <si>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</si>
  <si>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</si>
  <si>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</si>
  <si>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</si>
  <si>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</si>
  <si>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</si>
  <si>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</si>
  <si>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</si>
  <si>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</si>
  <si>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</si>
  <si>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</si>
  <si>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</si>
  <si>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</si>
  <si>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</si>
  <si>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</si>
  <si>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</si>
  <si>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</si>
  <si>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</si>
  <si>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</si>
  <si>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</si>
  <si>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</si>
  <si>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</si>
  <si>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</si>
  <si>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</si>
  <si>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</si>
  <si>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</si>
  <si>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</si>
  <si>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</si>
  <si>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</si>
  <si>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</si>
  <si>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</si>
  <si>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</si>
  <si>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</si>
  <si>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</si>
  <si>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</si>
  <si>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</si>
  <si>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</si>
  <si>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</si>
  <si>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</si>
  <si>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</si>
  <si>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</si>
  <si>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</si>
  <si>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</si>
  <si>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</si>
  <si>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</si>
  <si>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</si>
  <si>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</si>
  <si>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</si>
  <si>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</si>
  <si>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</si>
  <si>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</si>
  <si>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</si>
  <si>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</si>
  <si>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</si>
  <si>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</si>
  <si>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</si>
  <si>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</si>
  <si>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</si>
  <si>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</si>
  <si>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</si>
  <si>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</si>
  <si>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</si>
  <si>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</si>
  <si>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</si>
  <si>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</si>
  <si>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</si>
  <si>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</si>
  <si>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</si>
  <si>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</si>
  <si>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</si>
  <si>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</si>
  <si>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</si>
  <si>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</si>
  <si>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</si>
  <si>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</si>
  <si>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</si>
  <si>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</si>
  <si>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</si>
  <si>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</si>
  <si>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</si>
  <si>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</si>
  <si>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</si>
  <si>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</si>
  <si>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</si>
  <si>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</si>
  <si>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</si>
  <si>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</si>
  <si>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</si>
  <si>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</si>
  <si>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</si>
  <si>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</si>
  <si>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</si>
  <si>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</si>
  <si>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</si>
  <si>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</si>
  <si>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</si>
  <si>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</si>
  <si>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</si>
  <si>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</si>
  <si>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</si>
  <si>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</si>
  <si>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</si>
  <si>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</si>
  <si>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</si>
  <si>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</si>
  <si>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</si>
  <si>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</si>
  <si>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</si>
  <si>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</si>
  <si>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</si>
  <si>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</si>
  <si>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</si>
  <si>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</si>
  <si>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</si>
  <si>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</si>
  <si>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</si>
  <si>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</si>
  <si>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</si>
  <si>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</si>
  <si>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</si>
  <si>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</si>
  <si>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</si>
  <si>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</si>
  <si>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</si>
  <si>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</si>
  <si>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</si>
  <si>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</si>
  <si>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</si>
  <si>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</si>
  <si>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</si>
  <si>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</si>
  <si>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</si>
  <si>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</si>
  <si>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</si>
  <si>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</si>
  <si>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</si>
  <si>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</si>
  <si>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</si>
  <si>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</si>
  <si>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</si>
  <si>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</si>
  <si>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</si>
  <si>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</si>
  <si>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</si>
  <si>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</si>
  <si>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</si>
  <si>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</si>
  <si>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</si>
  <si>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</si>
  <si>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</si>
  <si>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</si>
  <si>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</si>
  <si>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</si>
  <si>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</si>
  <si>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</si>
  <si>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</si>
  <si>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</si>
  <si>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</si>
  <si>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</si>
  <si>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</si>
  <si>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</si>
  <si>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</si>
  <si>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</si>
  <si>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</si>
  <si>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</si>
  <si>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</si>
  <si>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</si>
  <si>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</si>
  <si>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</si>
  <si>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</si>
  <si>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</si>
  <si>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</si>
  <si>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</si>
  <si>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</si>
  <si>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</si>
  <si>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</si>
  <si>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</si>
  <si>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</si>
  <si>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</si>
  <si>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</si>
  <si>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</si>
  <si>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</si>
  <si>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</si>
  <si>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</si>
  <si>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</si>
  <si>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</si>
  <si>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</si>
  <si>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</si>
  <si>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</si>
  <si>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</si>
  <si>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</si>
  <si>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</si>
  <si>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</si>
  <si>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</si>
  <si>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</si>
  <si>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</si>
  <si>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</si>
  <si>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</si>
  <si>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</si>
  <si>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</si>
  <si>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</si>
  <si>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</si>
  <si>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</si>
  <si>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</si>
  <si>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</si>
  <si>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</si>
  <si>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</si>
  <si>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</si>
  <si>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</si>
  <si>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</si>
  <si>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</si>
  <si>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</si>
  <si>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</si>
  <si>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</si>
  <si>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</si>
  <si>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</si>
  <si>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</si>
  <si>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</si>
  <si>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</si>
  <si>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</si>
  <si>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</si>
  <si>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</si>
  <si>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</si>
  <si>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</si>
  <si>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</si>
  <si>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</si>
  <si>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</si>
  <si>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</si>
  <si>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</si>
  <si>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</si>
  <si>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</si>
  <si>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</si>
  <si>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</si>
  <si>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</si>
  <si>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</si>
  <si>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</si>
  <si>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</si>
  <si>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</si>
  <si>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</si>
  <si>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</si>
  <si>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</si>
  <si>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</si>
  <si>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</si>
  <si>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</si>
  <si>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</si>
  <si>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</si>
  <si>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</si>
  <si>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</si>
  <si>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</si>
  <si>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</si>
  <si>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</si>
  <si>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</si>
  <si>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</si>
  <si>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</si>
  <si>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</si>
  <si>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</si>
  <si>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</si>
  <si>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</si>
  <si>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</si>
  <si>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</si>
  <si>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</si>
  <si>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</si>
  <si>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</si>
  <si>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</si>
  <si>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</si>
  <si>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</si>
  <si>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</si>
  <si>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</si>
  <si>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</si>
  <si>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</si>
  <si>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</si>
  <si>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</si>
  <si>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</si>
  <si>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</si>
  <si>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</si>
  <si>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</si>
  <si>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</si>
  <si>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</si>
  <si>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</si>
  <si>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</si>
  <si>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</si>
  <si>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</si>
  <si>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</si>
  <si>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</si>
  <si>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</si>
  <si>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</si>
  <si>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</si>
  <si>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</si>
  <si>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</si>
  <si>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</si>
  <si>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</si>
  <si>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</si>
  <si>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</si>
  <si>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</si>
  <si>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</si>
  <si>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</si>
  <si>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</si>
  <si>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</si>
  <si>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</si>
  <si>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</si>
  <si>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</si>
  <si>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</si>
  <si>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</si>
  <si>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</si>
  <si>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</si>
  <si>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</si>
  <si>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</si>
  <si>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</si>
  <si>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</si>
  <si>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</si>
  <si>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</si>
  <si>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</si>
  <si>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</si>
  <si>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</si>
  <si>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</si>
  <si>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</si>
  <si>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</si>
  <si>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</si>
  <si>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</si>
  <si>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</si>
  <si>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</si>
  <si>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</si>
  <si>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</si>
  <si>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</si>
  <si>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</si>
  <si>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</si>
  <si>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</si>
  <si>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</si>
  <si>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</si>
  <si>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</si>
  <si>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</si>
  <si>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</si>
  <si>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</si>
  <si>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</si>
  <si>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</si>
  <si>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</si>
  <si>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</si>
  <si>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</si>
  <si>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</si>
  <si>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</si>
  <si>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</si>
  <si>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</si>
  <si>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</si>
  <si>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</si>
  <si>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</si>
  <si>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</si>
  <si>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</si>
  <si>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</si>
  <si>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</si>
  <si>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</si>
  <si>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</si>
  <si>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</si>
  <si>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</si>
  <si>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</si>
  <si>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</si>
  <si>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</si>
  <si>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</si>
  <si>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</si>
  <si>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</si>
  <si>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</si>
  <si>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</si>
  <si>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</si>
  <si>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</si>
  <si>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</si>
  <si>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</si>
  <si>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</si>
  <si>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</si>
  <si>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</si>
  <si>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</si>
  <si>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</si>
  <si>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</si>
  <si>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</si>
  <si>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</si>
  <si>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</si>
  <si>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</si>
  <si>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</si>
  <si>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</si>
  <si>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</si>
  <si>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</si>
  <si>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</si>
  <si>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</si>
  <si>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</si>
  <si>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</si>
  <si>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</si>
  <si>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</si>
  <si>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</si>
  <si>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</si>
  <si>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</si>
  <si>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</si>
  <si>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</si>
  <si>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</si>
  <si>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</si>
  <si>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</si>
  <si>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</si>
  <si>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</si>
  <si>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</si>
  <si>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</si>
  <si>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</si>
  <si>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</si>
  <si>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</si>
  <si>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</si>
  <si>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</si>
  <si>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</si>
  <si>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</si>
  <si>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</si>
  <si>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</si>
  <si>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</si>
  <si>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</si>
  <si>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</si>
  <si>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</si>
  <si>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</si>
  <si>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</si>
  <si>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</si>
  <si>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</si>
  <si>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</si>
  <si>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</si>
  <si>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</si>
  <si>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</si>
  <si>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</si>
  <si>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</si>
  <si>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</si>
  <si>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</si>
  <si>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</si>
  <si>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</si>
  <si>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</si>
  <si>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</si>
  <si>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</si>
  <si>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</si>
  <si>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</si>
  <si>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</si>
  <si>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</si>
  <si>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</si>
  <si>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</si>
  <si>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</si>
  <si>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</si>
  <si>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</si>
  <si>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</si>
  <si>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</si>
  <si>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</si>
  <si>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</si>
  <si>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</si>
  <si>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</si>
  <si>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</si>
  <si>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</si>
  <si>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</si>
  <si>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</si>
  <si>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</si>
  <si>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</si>
  <si>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</si>
  <si>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</si>
  <si>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</si>
  <si>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</si>
  <si>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</si>
  <si>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</si>
  <si>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</si>
  <si>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</si>
  <si>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</si>
  <si>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</si>
  <si>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</si>
  <si>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</si>
  <si>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</si>
  <si>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</si>
  <si>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</si>
  <si>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</si>
  <si>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</si>
  <si>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</si>
  <si>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</si>
  <si>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</si>
  <si>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</si>
  <si>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</si>
  <si>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</si>
  <si>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</si>
  <si>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</si>
  <si>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</si>
  <si>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</si>
  <si>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</si>
  <si>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</si>
  <si>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</si>
  <si>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</si>
  <si>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</si>
  <si>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</si>
  <si>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</si>
  <si>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</si>
  <si>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</si>
  <si>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</si>
  <si>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</si>
  <si>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</si>
  <si>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</si>
  <si>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</si>
  <si>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</si>
  <si>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</si>
  <si>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</si>
  <si>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</si>
  <si>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</si>
  <si>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</si>
  <si>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</si>
  <si>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</si>
  <si>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</si>
  <si>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</si>
  <si>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</si>
  <si>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</si>
  <si>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</si>
  <si>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</si>
  <si>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</si>
  <si>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</si>
  <si>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</si>
  <si>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</si>
  <si>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</si>
  <si>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</si>
  <si>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</si>
  <si>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</si>
  <si>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</si>
  <si>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</si>
  <si>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</si>
  <si>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</si>
  <si>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</si>
  <si>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</si>
  <si>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</si>
  <si>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</si>
  <si>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</si>
  <si>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</si>
  <si>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</si>
  <si>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</si>
  <si>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</si>
  <si>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</si>
  <si>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</si>
  <si>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</si>
  <si>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</si>
  <si>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</si>
  <si>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</si>
  <si>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</si>
  <si>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</si>
  <si>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</si>
  <si>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</si>
  <si>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</si>
  <si>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</si>
  <si>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</si>
  <si>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</si>
  <si>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</si>
  <si>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</si>
  <si>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</si>
  <si>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</si>
  <si>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</si>
  <si>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</si>
  <si>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</si>
  <si>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</si>
  <si>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</si>
  <si>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</si>
  <si>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</si>
  <si>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</si>
  <si>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</si>
  <si>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</si>
  <si>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</si>
  <si>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</si>
  <si>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</si>
  <si>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</si>
  <si>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</si>
  <si>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</si>
  <si>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</si>
  <si>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</si>
  <si>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</si>
  <si>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</si>
  <si>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</si>
  <si>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</si>
  <si>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</si>
  <si>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</si>
  <si>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</si>
  <si>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</si>
  <si>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</si>
  <si>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</si>
  <si>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</si>
  <si>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</si>
  <si>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</si>
  <si>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</si>
  <si>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</si>
  <si>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</si>
  <si>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</si>
  <si>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</si>
  <si>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</si>
  <si>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</si>
  <si>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</si>
  <si>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</si>
  <si>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</si>
  <si>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</si>
  <si>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</si>
  <si>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</si>
  <si>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</si>
  <si>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</si>
  <si>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</si>
  <si>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</si>
  <si>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</si>
  <si>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</si>
  <si>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</si>
  <si>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</si>
  <si>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</si>
  <si>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</si>
  <si>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</si>
  <si>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</si>
  <si>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</si>
  <si>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</si>
  <si>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</si>
  <si>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</si>
  <si>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</si>
  <si>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</si>
  <si>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</si>
  <si>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</si>
  <si>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</si>
  <si>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</si>
  <si>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</si>
  <si>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</si>
  <si>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</si>
  <si>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</si>
  <si>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</si>
  <si>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</si>
  <si>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</si>
  <si>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</si>
  <si>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</si>
  <si>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</si>
  <si>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</si>
  <si>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</si>
  <si>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</si>
  <si>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</si>
  <si>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</si>
  <si>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</si>
  <si>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</si>
  <si>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</si>
  <si>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</si>
  <si>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</si>
  <si>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</si>
  <si>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</si>
  <si>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</si>
  <si>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</si>
  <si>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</si>
  <si>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</si>
  <si>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</si>
  <si>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</si>
  <si>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</si>
  <si>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</si>
  <si>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</si>
  <si>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</si>
  <si>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</si>
  <si>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</si>
  <si>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</si>
  <si>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</si>
  <si>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</si>
  <si>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</si>
  <si>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</si>
  <si>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</si>
  <si>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</si>
  <si>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</si>
  <si>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</si>
  <si>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</si>
  <si>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</si>
  <si>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</si>
  <si>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</si>
  <si>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</si>
  <si>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</si>
  <si>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</si>
  <si>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</si>
  <si>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</si>
  <si>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</si>
  <si>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</si>
  <si>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</si>
  <si>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</si>
  <si>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</si>
  <si>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</si>
  <si>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</si>
  <si>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</si>
  <si>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</si>
  <si>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</si>
  <si>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</si>
  <si>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</si>
  <si>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</si>
  <si>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</si>
  <si>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</si>
  <si>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</si>
  <si>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</si>
  <si>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</si>
  <si>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</si>
  <si>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</si>
  <si>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</si>
  <si>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</si>
  <si>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</si>
  <si>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</si>
  <si>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</si>
  <si>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</si>
  <si>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</si>
  <si>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</si>
  <si>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</si>
  <si>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</si>
  <si>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</si>
  <si>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</si>
  <si>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</si>
  <si>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</si>
  <si>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</si>
  <si>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</si>
  <si>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</si>
  <si>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</si>
  <si>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</si>
  <si>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</si>
  <si>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</si>
  <si>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</si>
  <si>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</si>
  <si>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</si>
  <si>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</si>
  <si>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</si>
  <si>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</si>
  <si>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</si>
  <si>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</si>
  <si>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</si>
  <si>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</si>
  <si>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</si>
  <si>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</si>
  <si>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</si>
  <si>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</si>
  <si>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</si>
  <si>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</si>
  <si>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</si>
  <si>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</si>
  <si>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</si>
  <si>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</si>
  <si>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</si>
  <si>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</si>
  <si>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</si>
  <si>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</si>
  <si>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</si>
  <si>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</si>
  <si>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</si>
  <si>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</si>
  <si>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</si>
  <si>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</si>
  <si>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</si>
  <si>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</si>
  <si>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</si>
  <si>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</si>
  <si>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</si>
  <si>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</si>
  <si>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</si>
  <si>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</si>
  <si>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</si>
  <si>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</si>
  <si>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</si>
  <si>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</si>
  <si>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</si>
  <si>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</si>
  <si>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</si>
  <si>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</si>
  <si>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</si>
  <si>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</si>
  <si>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</si>
  <si>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</si>
  <si>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</si>
  <si>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</si>
  <si>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</si>
  <si>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</si>
  <si>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</si>
  <si>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</si>
  <si>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</si>
  <si>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</si>
  <si>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</si>
  <si>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</si>
  <si>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</si>
  <si>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</si>
  <si>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</si>
  <si>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</si>
  <si>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</si>
  <si>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</si>
  <si>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</si>
  <si>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</si>
  <si>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</si>
  <si>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</si>
  <si>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</si>
  <si>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</si>
  <si>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</si>
  <si>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</si>
  <si>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</si>
  <si>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</si>
  <si>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</si>
  <si>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</si>
  <si>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</si>
  <si>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</si>
  <si>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</si>
  <si>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</si>
  <si>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</si>
  <si>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</si>
  <si>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</si>
  <si>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</si>
  <si>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</si>
  <si>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</si>
  <si>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</si>
  <si>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</si>
  <si>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</si>
  <si>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</si>
  <si>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</si>
  <si>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</si>
  <si>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</si>
  <si>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</si>
  <si>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</si>
  <si>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</si>
  <si>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</si>
  <si>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</si>
  <si>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</si>
  <si>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</si>
  <si>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</si>
  <si>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</si>
  <si>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</si>
  <si>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</si>
  <si>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</si>
  <si>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</si>
  <si>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</si>
  <si>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</si>
  <si>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</si>
  <si>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</si>
  <si>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</si>
  <si>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</si>
  <si>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</si>
  <si>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</si>
  <si>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</si>
  <si>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</si>
  <si>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</si>
  <si>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</si>
  <si>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</si>
  <si>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</si>
  <si>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</si>
  <si>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</si>
  <si>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</si>
  <si>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</si>
  <si>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</si>
  <si>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</si>
  <si>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</si>
  <si>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</si>
  <si>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</si>
  <si>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</si>
  <si>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</si>
  <si>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</si>
  <si>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</si>
  <si>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</si>
  <si>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</si>
  <si>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</si>
  <si>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</si>
  <si>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</si>
  <si>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</si>
  <si>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</si>
  <si>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</si>
  <si>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</si>
  <si>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</si>
  <si>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</si>
  <si>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</si>
  <si>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</si>
  <si>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</si>
  <si>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</si>
  <si>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</si>
  <si>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</si>
  <si>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</si>
  <si>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</si>
  <si>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</si>
  <si>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</si>
  <si>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</si>
  <si>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</si>
  <si>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</si>
  <si>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</si>
  <si>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</si>
  <si>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</si>
  <si>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</si>
  <si>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</si>
  <si>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</si>
  <si>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</si>
  <si>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</si>
  <si>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</si>
  <si>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</si>
  <si>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</si>
  <si>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</si>
  <si>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</si>
  <si>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</si>
  <si>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</si>
  <si>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</si>
  <si>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</si>
  <si>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</si>
  <si>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</si>
  <si>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</si>
  <si>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</si>
  <si>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</si>
  <si>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</si>
  <si>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</si>
  <si>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</si>
  <si>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</si>
  <si>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</si>
  <si>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</si>
  <si>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</si>
  <si>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</si>
  <si>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</si>
  <si>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</si>
  <si>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</si>
  <si>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</si>
  <si>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</si>
  <si>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</si>
  <si>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</si>
  <si>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</si>
  <si>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</si>
  <si>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</si>
  <si>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</si>
  <si>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</si>
  <si>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</si>
  <si>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</si>
  <si>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</si>
  <si>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</si>
  <si>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</si>
  <si>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</si>
  <si>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</si>
  <si>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</si>
  <si>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</si>
  <si>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</si>
  <si>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</si>
  <si>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</si>
  <si>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</si>
  <si>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</si>
  <si>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</si>
  <si>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</si>
  <si>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</si>
  <si>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</si>
  <si>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</si>
  <si>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</si>
  <si>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</si>
  <si>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</si>
  <si>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</si>
  <si>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</si>
  <si>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</si>
  <si>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</si>
  <si>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</si>
  <si>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</si>
  <si>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</si>
  <si>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</si>
  <si>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</si>
  <si>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</si>
  <si>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</si>
  <si>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</si>
  <si>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</si>
  <si>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</si>
  <si>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</si>
  <si>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</si>
  <si>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</si>
  <si>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</si>
  <si>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</si>
  <si>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</si>
  <si>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</si>
  <si>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</si>
  <si>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</si>
  <si>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</si>
  <si>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</si>
  <si>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</si>
  <si>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</si>
  <si>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</si>
  <si>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</si>
  <si>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</si>
  <si>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</si>
  <si>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</si>
  <si>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</si>
  <si>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</si>
  <si>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</si>
  <si>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</si>
  <si>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</si>
  <si>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</si>
  <si>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</si>
  <si>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</si>
  <si>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</si>
  <si>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</si>
  <si>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</si>
  <si>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</si>
  <si>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</si>
  <si>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</si>
  <si>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</si>
  <si>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</si>
  <si>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</si>
  <si>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</si>
  <si>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</si>
  <si>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</si>
  <si>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</si>
  <si>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</si>
  <si>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</si>
  <si>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</si>
  <si>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</si>
  <si>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</si>
  <si>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</si>
  <si>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</si>
  <si>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</si>
  <si>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</si>
  <si>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</si>
  <si>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</si>
  <si>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</si>
  <si>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</si>
  <si>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</si>
  <si>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</si>
  <si>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</si>
  <si>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</si>
  <si>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</si>
  <si>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</si>
  <si>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</si>
  <si>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</si>
  <si>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</si>
  <si>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</si>
  <si>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</si>
  <si>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</si>
  <si>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</si>
  <si>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</si>
  <si>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</si>
  <si>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</si>
  <si>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</si>
  <si>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</si>
  <si>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</si>
  <si>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</si>
  <si>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</si>
  <si>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</si>
  <si>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</si>
  <si>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</si>
  <si>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</si>
  <si>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</si>
  <si>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</si>
  <si>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</si>
  <si>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</si>
  <si>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</si>
  <si>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</si>
  <si>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</si>
  <si>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</si>
  <si>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</si>
  <si>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</si>
  <si>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</si>
  <si>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</si>
  <si>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</si>
  <si>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</si>
  <si>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</si>
  <si>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</si>
  <si>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</si>
  <si>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</si>
  <si>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</si>
  <si>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</si>
  <si>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</si>
  <si>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</si>
  <si>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</si>
  <si>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</si>
  <si>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</si>
  <si>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</si>
  <si>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</si>
  <si>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</si>
  <si>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</si>
  <si>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</si>
  <si>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</si>
  <si>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</si>
  <si>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</si>
  <si>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</si>
  <si>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</si>
  <si>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</si>
  <si>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</si>
  <si>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</si>
  <si>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</si>
  <si>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</si>
  <si>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</si>
  <si>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</si>
  <si>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</si>
  <si>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</si>
  <si>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</si>
  <si>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</si>
  <si>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</si>
  <si>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</si>
  <si>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</si>
  <si>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</si>
  <si>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</si>
  <si>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</si>
  <si>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</si>
  <si>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</si>
  <si>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</si>
  <si>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</si>
  <si>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</si>
  <si>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</si>
  <si>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</si>
  <si>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</si>
  <si>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</si>
  <si>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</si>
  <si>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</si>
  <si>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</si>
  <si>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</si>
  <si>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</si>
  <si>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</si>
  <si>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</si>
  <si>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</si>
  <si>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</si>
  <si>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</si>
  <si>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</si>
  <si>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</si>
  <si>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</si>
  <si>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</si>
  <si>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</si>
  <si>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</si>
  <si>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</si>
  <si>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</si>
  <si>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</si>
  <si>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</si>
  <si>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</si>
  <si>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</si>
  <si>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</si>
  <si>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</si>
  <si>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</si>
  <si>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</si>
  <si>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</si>
  <si>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</si>
  <si>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</si>
  <si>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</si>
  <si>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</si>
  <si>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</si>
  <si>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</si>
  <si>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</si>
  <si>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</si>
  <si>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</si>
  <si>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</si>
  <si>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</si>
  <si>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</si>
  <si>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</si>
  <si>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</si>
  <si>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</si>
  <si>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</si>
  <si>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</si>
  <si>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</si>
  <si>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</si>
  <si>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</si>
  <si>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</si>
  <si>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</si>
  <si>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</si>
  <si>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</si>
  <si>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</si>
  <si>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</si>
  <si>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</si>
  <si>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</si>
  <si>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</si>
  <si>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</si>
  <si>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</si>
  <si>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</si>
  <si>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</si>
  <si>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</si>
  <si>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</si>
  <si>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</si>
  <si>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</si>
  <si>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</si>
  <si>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</si>
  <si>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</si>
  <si>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</si>
  <si>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</si>
  <si>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</si>
  <si>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</si>
  <si>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</si>
  <si>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</si>
  <si>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</si>
  <si>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</si>
  <si>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</si>
  <si>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</si>
  <si>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</si>
  <si>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</si>
  <si>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</si>
  <si>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</si>
  <si>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</si>
  <si>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</si>
  <si>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</si>
  <si>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</si>
  <si>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</si>
  <si>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</si>
  <si>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</si>
  <si>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</si>
  <si>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</si>
  <si>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</si>
  <si>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</si>
  <si>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</si>
  <si>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</si>
  <si>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</si>
  <si>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</si>
  <si>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</si>
  <si>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</si>
  <si>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</si>
  <si>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</si>
  <si>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</si>
  <si>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</si>
  <si>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</si>
  <si>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</si>
  <si>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</si>
  <si>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</si>
  <si>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</si>
  <si>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</si>
  <si>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</si>
  <si>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</si>
  <si>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</si>
  <si>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</si>
  <si>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</si>
  <si>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</si>
  <si>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</si>
  <si>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</si>
  <si>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</si>
  <si>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</si>
  <si>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</si>
  <si>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</si>
  <si>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</si>
  <si>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</si>
  <si>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</si>
  <si>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</si>
  <si>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</si>
  <si>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</si>
  <si>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</si>
  <si>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</si>
  <si>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</si>
  <si>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</si>
  <si>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</si>
  <si>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</si>
  <si>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</si>
  <si>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</si>
  <si>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</si>
  <si>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</si>
  <si>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</si>
  <si>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</si>
  <si>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</si>
  <si>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</si>
  <si>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</si>
  <si>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</si>
  <si>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</si>
  <si>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</si>
  <si>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</si>
  <si>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</si>
  <si>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</si>
  <si>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</si>
  <si>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</si>
  <si>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</si>
  <si>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</si>
  <si>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</si>
  <si>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</si>
  <si>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</si>
  <si>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</si>
  <si>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</si>
  <si>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</si>
  <si>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</si>
  <si>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</si>
  <si>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</si>
  <si>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</si>
  <si>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</si>
  <si>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</si>
  <si>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</si>
  <si>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</si>
  <si>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</si>
  <si>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</si>
  <si>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</si>
  <si>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</si>
  <si>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</si>
  <si>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</si>
  <si>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</si>
  <si>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</si>
  <si>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</si>
  <si>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</si>
  <si>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</si>
  <si>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</si>
  <si>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</si>
  <si>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</si>
  <si>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</si>
  <si>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</si>
  <si>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</si>
  <si>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</si>
  <si>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</si>
  <si>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</si>
  <si>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</si>
  <si>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</si>
  <si>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</si>
  <si>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</si>
  <si>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</si>
  <si>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</si>
  <si>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</si>
  <si>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</si>
  <si>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</si>
  <si>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</si>
  <si>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</si>
  <si>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</si>
  <si>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</si>
  <si>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</si>
  <si>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</si>
  <si>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</si>
  <si>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</si>
  <si>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</si>
  <si>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</si>
  <si>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</si>
  <si>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</si>
  <si>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</si>
  <si>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</si>
  <si>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</si>
  <si>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</si>
  <si>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</si>
  <si>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</si>
  <si>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</si>
  <si>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</si>
  <si>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</si>
  <si>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</si>
  <si>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</si>
  <si>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</si>
  <si>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</si>
  <si>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</si>
  <si>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</si>
  <si>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</si>
  <si>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</si>
  <si>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</si>
  <si>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</si>
  <si>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</si>
  <si>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</si>
  <si>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</si>
  <si>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</si>
  <si>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</si>
  <si>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</si>
  <si>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</si>
  <si>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</si>
  <si>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</si>
  <si>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</si>
  <si>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</si>
  <si>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</si>
  <si>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</si>
  <si>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</si>
  <si>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</si>
  <si>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</si>
  <si>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</si>
  <si>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</si>
  <si>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</si>
  <si>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</si>
  <si>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</si>
  <si>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</si>
  <si>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</si>
  <si>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</si>
  <si>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</si>
  <si>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</si>
  <si>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</si>
  <si>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</si>
  <si>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</si>
  <si>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</si>
  <si>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</si>
  <si>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</si>
  <si>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</si>
  <si>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</si>
  <si>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</si>
  <si>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</si>
  <si>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</si>
  <si>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</si>
  <si>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</si>
  <si>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</si>
  <si>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</si>
  <si>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</si>
  <si>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</si>
  <si>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</si>
  <si>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</si>
  <si>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</si>
  <si>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</si>
  <si>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</si>
  <si>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</si>
  <si>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</si>
  <si>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</si>
  <si>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</si>
  <si>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</si>
  <si>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</si>
  <si>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</si>
  <si>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</si>
  <si>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</si>
  <si>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</si>
  <si>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</si>
  <si>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</si>
  <si>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</si>
  <si>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</si>
  <si>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</si>
  <si>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</si>
  <si>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</si>
  <si>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</si>
  <si>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</si>
  <si>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</si>
  <si>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</si>
  <si>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</si>
  <si>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</si>
  <si>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</si>
  <si>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</si>
  <si>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</si>
  <si>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</si>
  <si>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</si>
  <si>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</si>
  <si>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</si>
  <si>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</si>
  <si>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</si>
  <si>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</si>
  <si>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</si>
  <si>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</si>
  <si>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</si>
  <si>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</si>
  <si>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</si>
  <si>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</si>
  <si>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</si>
  <si>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</si>
  <si>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</si>
  <si>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</si>
  <si>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</si>
  <si>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</si>
  <si>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</si>
  <si>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</si>
  <si>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</si>
  <si>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</si>
  <si>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</si>
  <si>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</si>
  <si>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</si>
  <si>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</si>
  <si>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</si>
  <si>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</si>
  <si>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</si>
  <si>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НАЦИОНАЛЕН ОСИГУРИТЕЛЕН ИНСТИТУТ</t>
  </si>
  <si>
    <t>Весела Караиванова - Начева</t>
  </si>
  <si>
    <t>926-13-01</t>
  </si>
  <si>
    <t>Людмила Захариева</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</si>
</sst>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90"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1"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1" fillId="42" borderId="45" xfId="45" applyNumberFormat="1" applyFont="1" applyFill="1" applyBorder="1" applyAlignment="1" applyProtection="1" quotePrefix="1">
      <alignment horizontal="righ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5"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9"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5" fillId="44" borderId="0" xfId="0" applyNumberFormat="1" applyFont="1" applyFill="1" applyBorder="1" applyAlignment="1" applyProtection="1">
      <alignment/>
      <protection/>
    </xf>
    <xf numFmtId="0" fontId="116"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9" fillId="62" borderId="0" xfId="35" applyFont="1" applyFill="1" applyAlignment="1">
      <alignment horizontal="left" vertical="center"/>
      <protection/>
    </xf>
    <xf numFmtId="0" fontId="109"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9" fillId="44" borderId="0" xfId="50" applyNumberFormat="1" applyFont="1" applyFill="1" applyBorder="1" applyAlignment="1" applyProtection="1">
      <alignment/>
      <protection/>
    </xf>
    <xf numFmtId="38" fontId="109"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3"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4" fillId="44" borderId="32" xfId="49" applyFont="1" applyFill="1" applyBorder="1" applyProtection="1">
      <alignment/>
      <protection/>
    </xf>
    <xf numFmtId="0" fontId="124" fillId="44" borderId="72" xfId="49" applyFont="1" applyFill="1" applyBorder="1" applyProtection="1">
      <alignment/>
      <protection/>
    </xf>
    <xf numFmtId="0" fontId="124" fillId="44" borderId="73" xfId="49" applyFont="1" applyFill="1" applyBorder="1" applyProtection="1">
      <alignment/>
      <protection/>
    </xf>
    <xf numFmtId="188" fontId="6" fillId="72" borderId="0" xfId="50" applyNumberFormat="1" applyFont="1" applyFill="1" applyAlignment="1" applyProtection="1">
      <alignment/>
      <protection/>
    </xf>
    <xf numFmtId="188" fontId="119" fillId="38" borderId="167" xfId="40" applyNumberFormat="1" applyFont="1" applyFill="1" applyBorder="1" applyAlignment="1" applyProtection="1">
      <alignment horizontal="center"/>
      <protection/>
    </xf>
    <xf numFmtId="188" fontId="89"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9"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4" fillId="44" borderId="36" xfId="49" applyFont="1" applyFill="1" applyBorder="1" applyProtection="1">
      <alignment/>
      <protection/>
    </xf>
    <xf numFmtId="0" fontId="124" fillId="44" borderId="162" xfId="49" applyFont="1" applyFill="1" applyBorder="1" applyProtection="1">
      <alignment/>
      <protection/>
    </xf>
    <xf numFmtId="0" fontId="124" fillId="44" borderId="163" xfId="49" applyFont="1" applyFill="1" applyBorder="1" applyProtection="1">
      <alignment/>
      <protection/>
    </xf>
    <xf numFmtId="188" fontId="119" fillId="38" borderId="171" xfId="40" applyNumberFormat="1" applyFont="1" applyFill="1" applyBorder="1" applyAlignment="1" applyProtection="1">
      <alignment horizontal="center"/>
      <protection/>
    </xf>
    <xf numFmtId="188" fontId="89" fillId="38" borderId="172" xfId="40" applyNumberFormat="1" applyFont="1" applyFill="1" applyBorder="1" applyAlignment="1" applyProtection="1">
      <alignment horizontal="center"/>
      <protection/>
    </xf>
    <xf numFmtId="188" fontId="89"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9"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5" fillId="56" borderId="183" xfId="40" applyNumberFormat="1" applyFont="1" applyFill="1" applyBorder="1" applyAlignment="1" applyProtection="1">
      <alignment/>
      <protection/>
    </xf>
    <xf numFmtId="200" fontId="115" fillId="56" borderId="180" xfId="40" applyNumberFormat="1" applyFont="1" applyFill="1" applyBorder="1" applyAlignment="1" applyProtection="1">
      <alignment/>
      <protection/>
    </xf>
    <xf numFmtId="200" fontId="115"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9" fillId="74" borderId="167" xfId="40" applyNumberFormat="1" applyFont="1" applyFill="1" applyBorder="1" applyAlignment="1" applyProtection="1">
      <alignment horizontal="center"/>
      <protection/>
    </xf>
    <xf numFmtId="188" fontId="89"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9" fillId="74" borderId="171" xfId="40" applyNumberFormat="1" applyFont="1" applyFill="1" applyBorder="1" applyAlignment="1" applyProtection="1">
      <alignment horizontal="center"/>
      <protection/>
    </xf>
    <xf numFmtId="188" fontId="89"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3" fillId="44" borderId="45" xfId="40" applyFont="1" applyFill="1" applyBorder="1" applyAlignment="1" applyProtection="1" quotePrefix="1">
      <alignment horizontal="left"/>
      <protection/>
    </xf>
    <xf numFmtId="0" fontId="93" fillId="44" borderId="59" xfId="40" applyFont="1" applyFill="1" applyBorder="1" applyAlignment="1" applyProtection="1" quotePrefix="1">
      <alignment horizontal="left"/>
      <protection/>
    </xf>
    <xf numFmtId="0" fontId="93"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6" fillId="44" borderId="137" xfId="40" applyNumberFormat="1" applyFont="1" applyFill="1" applyBorder="1" applyAlignment="1" applyProtection="1">
      <alignment horizontal="center"/>
      <protection/>
    </xf>
    <xf numFmtId="3" fontId="96" fillId="44" borderId="64" xfId="40" applyNumberFormat="1" applyFont="1" applyFill="1" applyBorder="1" applyAlignment="1" applyProtection="1">
      <alignment horizontal="center"/>
      <protection/>
    </xf>
    <xf numFmtId="3" fontId="96" fillId="44" borderId="116" xfId="40" applyNumberFormat="1" applyFont="1" applyFill="1" applyBorder="1" applyAlignment="1" applyProtection="1">
      <alignment horizontal="center"/>
      <protection/>
    </xf>
    <xf numFmtId="38" fontId="109" fillId="44" borderId="17" xfId="50" applyNumberFormat="1" applyFont="1" applyFill="1" applyBorder="1" applyAlignment="1" applyProtection="1">
      <alignment horizontal="left"/>
      <protection/>
    </xf>
    <xf numFmtId="38" fontId="109" fillId="44" borderId="0" xfId="50" applyNumberFormat="1" applyFont="1" applyFill="1" applyBorder="1" applyAlignment="1" applyProtection="1">
      <alignment horizontal="left"/>
      <protection/>
    </xf>
    <xf numFmtId="38" fontId="109"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5"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5"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5"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5"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5"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1" fillId="42" borderId="23" xfId="35" applyFont="1" applyFill="1" applyBorder="1" applyAlignment="1" applyProtection="1">
      <alignment horizontal="center" vertical="center"/>
      <protection locked="0"/>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8"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40" applyFont="1" applyFill="1" applyBorder="1" applyAlignment="1" applyProtection="1">
      <alignment horizontal="center" vertical="center" wrapText="1"/>
      <protection/>
    </xf>
    <xf numFmtId="0" fontId="93" fillId="44" borderId="59" xfId="40" applyFont="1" applyFill="1" applyBorder="1" applyAlignment="1" applyProtection="1">
      <alignment horizontal="center" vertical="center" wrapText="1"/>
      <protection/>
    </xf>
    <xf numFmtId="0" fontId="93" fillId="44" borderId="81" xfId="40" applyFont="1" applyFill="1" applyBorder="1" applyAlignment="1" applyProtection="1">
      <alignment horizontal="center" vertical="center" wrapText="1"/>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0" fontId="329" fillId="44" borderId="17" xfId="41" applyFont="1" applyFill="1" applyBorder="1" applyAlignment="1" applyProtection="1">
      <alignment horizontal="center"/>
      <protection/>
    </xf>
    <xf numFmtId="0" fontId="329" fillId="44" borderId="0" xfId="41" applyFont="1" applyFill="1" applyBorder="1" applyAlignment="1" applyProtection="1">
      <alignment horizontal="center"/>
      <protection/>
    </xf>
    <xf numFmtId="0" fontId="329" fillId="44" borderId="22" xfId="41" applyFont="1" applyFill="1" applyBorder="1" applyAlignment="1" applyProtection="1">
      <alignment horizontal="center"/>
      <protection/>
    </xf>
    <xf numFmtId="38" fontId="108" fillId="44" borderId="176" xfId="50" applyNumberFormat="1" applyFont="1" applyFill="1" applyBorder="1" applyAlignment="1" applyProtection="1">
      <alignment horizontal="center"/>
      <protection/>
    </xf>
    <xf numFmtId="38" fontId="108" fillId="44" borderId="126" xfId="50" applyNumberFormat="1" applyFont="1" applyFill="1" applyBorder="1" applyAlignment="1" applyProtection="1">
      <alignment horizontal="center"/>
      <protection/>
    </xf>
    <xf numFmtId="38" fontId="108"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9"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4"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0" fillId="47" borderId="16" xfId="35" applyFont="1" applyFill="1" applyBorder="1" applyAlignment="1" applyProtection="1">
      <alignment horizontal="center" vertical="center" wrapText="1"/>
      <protection/>
    </xf>
    <xf numFmtId="0" fontId="110"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32" fillId="0" borderId="0" xfId="36" applyFont="1" applyAlignment="1">
      <alignment horizontal="left" vertical="center" wrapText="1"/>
      <protection/>
    </xf>
    <xf numFmtId="0" fontId="20" fillId="0" borderId="0" xfId="36" applyAlignment="1">
      <alignment vertical="center" wrapText="1"/>
      <protection/>
    </xf>
    <xf numFmtId="0" fontId="33" fillId="0" borderId="0" xfId="36" applyFont="1" applyAlignment="1">
      <alignment vertical="center" wrapText="1"/>
      <protection/>
    </xf>
    <xf numFmtId="0" fontId="34" fillId="0" borderId="0" xfId="36" applyFont="1" applyAlignment="1">
      <alignment vertical="center" wrapText="1"/>
      <protection/>
    </xf>
    <xf numFmtId="0" fontId="29" fillId="0" borderId="11" xfId="36" applyFont="1" applyBorder="1" applyAlignment="1">
      <alignment horizontal="left" vertical="center" wrapText="1"/>
      <protection/>
    </xf>
    <xf numFmtId="0" fontId="0" fillId="0" borderId="12" xfId="0" applyBorder="1" applyAlignment="1">
      <alignment horizontal="left" vertical="center" wrapText="1"/>
    </xf>
    <xf numFmtId="0" fontId="29" fillId="0" borderId="11" xfId="36" applyFont="1" applyBorder="1" applyAlignment="1" quotePrefix="1">
      <alignment horizontal="center" vertical="center" wrapText="1"/>
      <protection/>
    </xf>
    <xf numFmtId="0" fontId="0" fillId="0" borderId="12" xfId="0" applyBorder="1" applyAlignment="1">
      <alignment horizontal="center" vertical="center"/>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wrapText="1"/>
    </xf>
    <xf numFmtId="0" fontId="40" fillId="38" borderId="23" xfId="45" applyFont="1" applyFill="1" applyBorder="1" applyAlignment="1">
      <alignment horizontal="left" vertical="center" wrapText="1"/>
      <protection/>
    </xf>
    <xf numFmtId="0" fontId="50" fillId="38" borderId="34" xfId="36" applyFont="1" applyFill="1" applyBorder="1" applyAlignment="1">
      <alignment horizontal="left" vertical="center" wrapText="1"/>
      <protection/>
    </xf>
    <xf numFmtId="0" fontId="40" fillId="38" borderId="28" xfId="45" applyFont="1" applyFill="1" applyBorder="1" applyAlignment="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40" fillId="38" borderId="23" xfId="45" applyFont="1" applyFill="1" applyBorder="1" applyAlignment="1" quotePrefix="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88"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0" xfId="36" applyFont="1" applyFill="1" applyBorder="1" applyAlignment="1" applyProtection="1">
      <alignment vertical="center" wrapText="1"/>
      <protection/>
    </xf>
    <xf numFmtId="0" fontId="55" fillId="38" borderId="191" xfId="36" applyFont="1" applyFill="1" applyBorder="1" applyAlignment="1" applyProtection="1">
      <alignment vertical="center" wrapText="1"/>
      <protection/>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40" fillId="38" borderId="23" xfId="45" applyFont="1" applyFill="1" applyBorder="1" applyAlignment="1">
      <alignment vertical="center" wrapText="1"/>
      <protection/>
    </xf>
    <xf numFmtId="0" fontId="50" fillId="38" borderId="34" xfId="36" applyFont="1" applyFill="1" applyBorder="1" applyAlignment="1">
      <alignment vertical="center" wrapText="1"/>
      <protection/>
    </xf>
    <xf numFmtId="0" fontId="40" fillId="38" borderId="34" xfId="45" applyFont="1" applyFill="1" applyBorder="1" applyAlignment="1">
      <alignment horizontal="left" vertical="center" wrapText="1"/>
      <protection/>
    </xf>
    <xf numFmtId="0" fontId="40" fillId="38" borderId="34" xfId="45" applyFont="1" applyFill="1" applyBorder="1" applyAlignment="1">
      <alignment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40" fillId="38" borderId="23" xfId="36" applyFont="1" applyFill="1" applyBorder="1" applyAlignment="1">
      <alignment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5" xfId="36" applyFont="1" applyFill="1" applyBorder="1" applyAlignment="1">
      <alignment vertical="center" wrapText="1"/>
      <protection/>
    </xf>
    <xf numFmtId="0" fontId="50" fillId="38" borderId="192" xfId="36"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40" fillId="38" borderId="25" xfId="45" applyFont="1" applyFill="1" applyBorder="1" applyAlignment="1" quotePrefix="1">
      <alignment horizontal="left" vertical="center" wrapText="1"/>
      <protection/>
    </xf>
    <xf numFmtId="0" fontId="50" fillId="38" borderId="192" xfId="36" applyFont="1" applyFill="1" applyBorder="1" applyAlignment="1">
      <alignment horizontal="left" vertical="center" wrapText="1"/>
      <protection/>
    </xf>
    <xf numFmtId="1" fontId="6" fillId="0" borderId="11" xfId="35" applyNumberFormat="1" applyFont="1" applyBorder="1" applyAlignment="1">
      <alignment horizontal="left" vertical="center" wrapText="1"/>
      <protection/>
    </xf>
    <xf numFmtId="0" fontId="40" fillId="38" borderId="34" xfId="45" applyFont="1" applyFill="1" applyBorder="1" applyAlignment="1" quotePrefix="1">
      <alignment horizontal="left" vertical="center" wrapText="1"/>
      <protection/>
    </xf>
    <xf numFmtId="0" fontId="40" fillId="38" borderId="28" xfId="45" applyFont="1" applyFill="1" applyBorder="1" applyAlignment="1" quotePrefix="1">
      <alignment horizontal="left" vertical="center" wrapText="1"/>
      <protection/>
    </xf>
    <xf numFmtId="0" fontId="40" fillId="38" borderId="28" xfId="45" applyFont="1" applyFill="1" applyBorder="1" applyAlignment="1" quotePrefix="1">
      <alignment horizontal="left" wrapText="1"/>
      <protection/>
    </xf>
    <xf numFmtId="0" fontId="50" fillId="38" borderId="187"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8" xfId="45" applyFont="1" applyFill="1" applyBorder="1" applyAlignment="1">
      <alignment vertical="center" wrapText="1"/>
      <protection/>
    </xf>
    <xf numFmtId="0" fontId="50" fillId="38" borderId="187" xfId="36" applyFont="1" applyFill="1" applyBorder="1" applyAlignment="1">
      <alignment vertical="center" wrapText="1"/>
      <protection/>
    </xf>
    <xf numFmtId="0" fontId="40" fillId="38" borderId="25" xfId="45" applyFont="1" applyFill="1" applyBorder="1" applyAlignment="1">
      <alignment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0" fontId="11" fillId="0" borderId="11" xfId="45"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3" fontId="35" fillId="74" borderId="16" xfId="36" applyNumberFormat="1" applyFont="1" applyFill="1" applyBorder="1" applyAlignment="1">
      <alignment horizontal="center"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93"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92" xfId="45" applyFont="1" applyFill="1" applyBorder="1" applyAlignment="1" quotePrefix="1">
      <alignment horizontal="left" vertical="center"/>
      <protection/>
    </xf>
    <xf numFmtId="0" fontId="29" fillId="0" borderId="11" xfId="36" applyFont="1" applyBorder="1" applyAlignment="1">
      <alignment horizontal="center" vertical="center" wrapText="1"/>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xf numFmtId="0" fontId="264" fillId="4" borderId="59" xfId="35" applyFont="1" applyFill="1" applyBorder="1" applyAlignment="1">
      <alignment vertical="center" wrapText="1"/>
      <protection/>
    </xf>
    <xf numFmtId="0" fontId="330" fillId="4" borderId="59" xfId="35" applyFont="1" applyFill="1" applyBorder="1" applyAlignment="1">
      <alignment vertical="center" wrapText="1"/>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alignment horizontal="left" vertical="center"/>
      <protection/>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264" fillId="4" borderId="59" xfId="4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0" fontId="264" fillId="4" borderId="59" xfId="45"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1" fillId="5" borderId="59" xfId="45" applyFont="1" applyFill="1" applyBorder="1" applyAlignment="1" quotePrefix="1">
      <alignment horizontal="left" vertical="center" wrapText="1"/>
      <protection/>
    </xf>
    <xf numFmtId="0" fontId="332" fillId="5" borderId="59" xfId="35"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1" fillId="4" borderId="59" xfId="35" applyFont="1" applyFill="1" applyBorder="1" applyAlignment="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61" fillId="5" borderId="59" xfId="45" applyFont="1" applyFill="1" applyBorder="1" applyAlignment="1" applyProtection="1" quotePrefix="1">
      <alignment horizontal="left" vertical="center" wrapText="1"/>
      <protection/>
    </xf>
    <xf numFmtId="0" fontId="332" fillId="5" borderId="59" xfId="35" applyFont="1" applyFill="1" applyBorder="1" applyAlignment="1" applyProtection="1">
      <alignment horizontal="left" vertical="center" wrapText="1"/>
      <protection/>
    </xf>
    <xf numFmtId="0" fontId="259" fillId="49" borderId="59" xfId="35" applyFont="1" applyFill="1" applyBorder="1" applyAlignment="1" applyProtection="1">
      <alignment wrapText="1"/>
      <protection/>
    </xf>
    <xf numFmtId="0" fontId="333" fillId="49" borderId="59" xfId="35" applyFont="1" applyFill="1" applyBorder="1" applyAlignment="1" applyProtection="1">
      <alignment wrapText="1"/>
      <protection/>
    </xf>
    <xf numFmtId="176" fontId="6" fillId="44" borderId="0" xfId="35" applyNumberFormat="1" applyFont="1" applyFill="1" applyBorder="1" applyAlignment="1" applyProtection="1">
      <alignment horizontal="left"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vertical="center" wrapText="1"/>
      <protection/>
    </xf>
    <xf numFmtId="0" fontId="333" fillId="49" borderId="59" xfId="35" applyFont="1" applyFill="1" applyBorder="1" applyAlignment="1" applyProtection="1">
      <alignmen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quotePrefix="1">
      <alignment horizontal="left" vertical="center"/>
      <protection/>
    </xf>
    <xf numFmtId="0" fontId="259" fillId="49" borderId="59" xfId="45" applyFont="1" applyFill="1" applyBorder="1" applyAlignment="1" applyProtection="1" quotePrefix="1">
      <alignment horizontal="left" vertical="center" wrapText="1"/>
      <protection/>
    </xf>
    <xf numFmtId="0" fontId="333" fillId="49" borderId="59" xfId="35" applyFont="1" applyFill="1" applyBorder="1" applyAlignment="1" applyProtection="1">
      <alignment horizontal="left" vertical="center" wrapText="1"/>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0" fontId="259" fillId="49" borderId="59" xfId="4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91" fillId="42" borderId="77" xfId="45" applyFont="1" applyFill="1" applyBorder="1" applyAlignment="1" applyProtection="1" quotePrefix="1">
      <alignment horizontal="left" vertical="center"/>
      <protection/>
    </xf>
    <xf numFmtId="0" fontId="91" fillId="42" borderId="194" xfId="45" applyFont="1" applyFill="1" applyBorder="1" applyAlignment="1" applyProtection="1" quotePrefix="1">
      <alignment horizontal="left" vertical="center"/>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13" t="str">
        <f>+OTCHET!B9</f>
        <v>НАЦИОНАЛЕН ОСИГУРИТЕЛЕН ИНСТИТУТ</v>
      </c>
      <c r="C2" s="2014"/>
      <c r="D2" s="2015"/>
      <c r="E2" s="1586"/>
      <c r="F2" s="1921">
        <f>+OTCHET!H9</f>
        <v>0</v>
      </c>
      <c r="G2" s="1962" t="str">
        <f>+OTCHET!F12</f>
        <v>5591</v>
      </c>
      <c r="H2" s="1587"/>
      <c r="I2" s="2016">
        <f>+OTCHET!H603</f>
        <v>0</v>
      </c>
      <c r="J2" s="2017"/>
      <c r="K2" s="1583"/>
      <c r="L2" s="2018">
        <f>+OTCHET!H601</f>
        <v>0</v>
      </c>
      <c r="M2" s="2019"/>
      <c r="N2" s="2020"/>
      <c r="O2" s="1588"/>
      <c r="P2" s="1735">
        <f>+OTCHET!E15</f>
        <v>0</v>
      </c>
      <c r="Q2" s="1739" t="str">
        <f>+OTCHET!F15</f>
        <v>БЮДЖЕТ</v>
      </c>
      <c r="R2" s="1741"/>
      <c r="S2" s="1576" t="s">
        <v>1751</v>
      </c>
      <c r="T2" s="2021">
        <f>+OTCHET!I9</f>
        <v>0</v>
      </c>
      <c r="U2" s="2022"/>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23" t="s">
        <v>1661</v>
      </c>
      <c r="T4" s="2023"/>
      <c r="U4" s="2023"/>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42886</v>
      </c>
      <c r="M6" s="1586"/>
      <c r="N6" s="1779" t="s">
        <v>1531</v>
      </c>
      <c r="O6" s="1578"/>
      <c r="P6" s="1923">
        <f>OTCHET!F9</f>
        <v>42886</v>
      </c>
      <c r="Q6" s="1779" t="s">
        <v>1531</v>
      </c>
      <c r="R6" s="1778"/>
      <c r="S6" s="2024">
        <f>+Q4</f>
        <v>2017</v>
      </c>
      <c r="T6" s="2024"/>
      <c r="U6" s="2024"/>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25" t="s">
        <v>1435</v>
      </c>
      <c r="T8" s="2026"/>
      <c r="U8" s="2027"/>
      <c r="V8" s="1578"/>
      <c r="W8" s="1594"/>
      <c r="X8" s="1594"/>
      <c r="Y8" s="1594"/>
      <c r="Z8" s="1594"/>
    </row>
    <row r="9" spans="1:26" s="1584" customFormat="1" ht="18" customHeight="1" thickBot="1">
      <c r="A9" s="1576"/>
      <c r="B9" s="1608" t="s">
        <v>1538</v>
      </c>
      <c r="C9" s="1609"/>
      <c r="D9" s="1610"/>
      <c r="E9" s="1586"/>
      <c r="F9" s="1611">
        <f>+L4</f>
        <v>2017</v>
      </c>
      <c r="G9" s="1730">
        <f>+L6</f>
        <v>42886</v>
      </c>
      <c r="H9" s="1586"/>
      <c r="I9" s="1612">
        <f>+L4</f>
        <v>2017</v>
      </c>
      <c r="J9" s="1732">
        <f>+L6</f>
        <v>42886</v>
      </c>
      <c r="K9" s="1733"/>
      <c r="L9" s="1731">
        <f>+L6</f>
        <v>42886</v>
      </c>
      <c r="M9" s="1733"/>
      <c r="N9" s="1734">
        <f>+L6</f>
        <v>42886</v>
      </c>
      <c r="O9" s="1613"/>
      <c r="P9" s="1752">
        <f>+L4</f>
        <v>2017</v>
      </c>
      <c r="Q9" s="1751">
        <f>OTCHET!F9</f>
        <v>42886</v>
      </c>
      <c r="R9" s="1778"/>
      <c r="S9" s="2028" t="s">
        <v>1433</v>
      </c>
      <c r="T9" s="2029"/>
      <c r="U9" s="2030"/>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16647535</v>
      </c>
      <c r="H13" s="1586"/>
      <c r="I13" s="1795">
        <f>+IF(OR($P$2=98,$P$2=42,$P$2=96,$P$2=97),$P13,0)</f>
        <v>0</v>
      </c>
      <c r="J13" s="1823">
        <f>+IF(OR($P$2=98,$P$2=42,$P$2=96,$P$2=97),$Q13,0)</f>
        <v>0</v>
      </c>
      <c r="K13" s="1796"/>
      <c r="L13" s="1823">
        <f>+IF($P$2=33,$Q13,0)</f>
        <v>0</v>
      </c>
      <c r="M13" s="1796"/>
      <c r="N13" s="1797">
        <f>+ROUND(+G13+J13+L13,0)</f>
        <v>16647535</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16647535</v>
      </c>
      <c r="R13" s="1778"/>
      <c r="S13" s="2031" t="s">
        <v>1663</v>
      </c>
      <c r="T13" s="2032"/>
      <c r="U13" s="2033"/>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4" t="s">
        <v>1665</v>
      </c>
      <c r="T14" s="2035"/>
      <c r="U14" s="2036"/>
      <c r="V14" s="1614"/>
      <c r="W14" s="1594"/>
      <c r="X14" s="1594"/>
      <c r="Y14" s="1594"/>
      <c r="Z14" s="1594"/>
    </row>
    <row r="15" spans="1:26" s="1584" customFormat="1" ht="15.75">
      <c r="A15" s="1622"/>
      <c r="B15" s="1755" t="s">
        <v>1544</v>
      </c>
      <c r="C15" s="1629"/>
      <c r="D15" s="1630"/>
      <c r="E15" s="1586"/>
      <c r="F15" s="1925">
        <f t="shared" si="0"/>
        <v>6000</v>
      </c>
      <c r="G15" s="1924">
        <f t="shared" si="1"/>
        <v>1387</v>
      </c>
      <c r="H15" s="1586"/>
      <c r="I15" s="1925">
        <f t="shared" si="2"/>
        <v>0</v>
      </c>
      <c r="J15" s="1924">
        <f t="shared" si="3"/>
        <v>0</v>
      </c>
      <c r="K15" s="1796"/>
      <c r="L15" s="1924">
        <f t="shared" si="4"/>
        <v>0</v>
      </c>
      <c r="M15" s="1796"/>
      <c r="N15" s="1798">
        <f t="shared" si="5"/>
        <v>1387</v>
      </c>
      <c r="O15" s="1943"/>
      <c r="P15" s="1925">
        <f>+ROUND(+OTCHET!E110+OTCHET!E111,0)</f>
        <v>6000</v>
      </c>
      <c r="Q15" s="1924">
        <f>+ROUND(+OTCHET!F110+OTCHET!F111,0)</f>
        <v>1387</v>
      </c>
      <c r="R15" s="1778"/>
      <c r="S15" s="2034" t="s">
        <v>1666</v>
      </c>
      <c r="T15" s="2035"/>
      <c r="U15" s="2036"/>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4" t="s">
        <v>1667</v>
      </c>
      <c r="T16" s="2035"/>
      <c r="U16" s="2036"/>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4" t="s">
        <v>1668</v>
      </c>
      <c r="T17" s="2035"/>
      <c r="U17" s="2036"/>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4" t="s">
        <v>1670</v>
      </c>
      <c r="T18" s="2035"/>
      <c r="U18" s="2036"/>
      <c r="V18" s="1614"/>
      <c r="W18" s="1594"/>
      <c r="X18" s="1594"/>
      <c r="Y18" s="1594"/>
      <c r="Z18" s="1594"/>
    </row>
    <row r="19" spans="1:26" s="1584" customFormat="1" ht="15.75">
      <c r="A19" s="1622"/>
      <c r="B19" s="1755" t="s">
        <v>1547</v>
      </c>
      <c r="C19" s="1629"/>
      <c r="D19" s="1630"/>
      <c r="E19" s="1586"/>
      <c r="F19" s="1925">
        <f t="shared" si="0"/>
        <v>13229000</v>
      </c>
      <c r="G19" s="1924">
        <f t="shared" si="1"/>
        <v>7467093</v>
      </c>
      <c r="H19" s="1586"/>
      <c r="I19" s="1925">
        <f t="shared" si="2"/>
        <v>0</v>
      </c>
      <c r="J19" s="1924">
        <f t="shared" si="3"/>
        <v>0</v>
      </c>
      <c r="K19" s="1796"/>
      <c r="L19" s="1924">
        <f t="shared" si="4"/>
        <v>0</v>
      </c>
      <c r="M19" s="1796"/>
      <c r="N19" s="1798">
        <f t="shared" si="5"/>
        <v>7467093</v>
      </c>
      <c r="O19" s="1943"/>
      <c r="P19" s="1925">
        <f>+ROUND(+SUM(OTCHET!E82:E89),0)</f>
        <v>13229000</v>
      </c>
      <c r="Q19" s="1924">
        <f>+ROUND(+SUM(OTCHET!F82:F89),0)</f>
        <v>7467093</v>
      </c>
      <c r="R19" s="1778"/>
      <c r="S19" s="2034" t="s">
        <v>1671</v>
      </c>
      <c r="T19" s="2035"/>
      <c r="U19" s="2036"/>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4" t="s">
        <v>1672</v>
      </c>
      <c r="T20" s="2035"/>
      <c r="U20" s="2036"/>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37" t="s">
        <v>1673</v>
      </c>
      <c r="T21" s="2038"/>
      <c r="U21" s="2039"/>
      <c r="V21" s="1614"/>
      <c r="W21" s="1594"/>
      <c r="X21" s="1594"/>
      <c r="Y21" s="1594"/>
      <c r="Z21" s="1594"/>
    </row>
    <row r="22" spans="1:26" s="1584" customFormat="1" ht="15.75">
      <c r="A22" s="1622"/>
      <c r="B22" s="1633" t="s">
        <v>1550</v>
      </c>
      <c r="C22" s="1634"/>
      <c r="D22" s="1635"/>
      <c r="E22" s="1586"/>
      <c r="F22" s="1801">
        <f>+ROUND(+SUM(F13:F21),0)</f>
        <v>54082900</v>
      </c>
      <c r="G22" s="1800">
        <f>+ROUND(+SUM(G13:G21),0)</f>
        <v>24116015</v>
      </c>
      <c r="H22" s="1586"/>
      <c r="I22" s="1801">
        <f>+ROUND(+SUM(I13:I21),0)</f>
        <v>0</v>
      </c>
      <c r="J22" s="1800">
        <f>+ROUND(+SUM(J13:J21),0)</f>
        <v>0</v>
      </c>
      <c r="K22" s="1796"/>
      <c r="L22" s="1800">
        <f>+ROUND(+SUM(L13:L21),0)</f>
        <v>0</v>
      </c>
      <c r="M22" s="1796"/>
      <c r="N22" s="1802">
        <f>+ROUND(+SUM(N13:N21),0)</f>
        <v>24116015</v>
      </c>
      <c r="O22" s="1943"/>
      <c r="P22" s="1801">
        <f>+ROUND(+SUM(P13:P21),0)</f>
        <v>54082900</v>
      </c>
      <c r="Q22" s="1800">
        <f>+ROUND(+SUM(Q13:Q21),0)</f>
        <v>24116015</v>
      </c>
      <c r="R22" s="1778"/>
      <c r="S22" s="2040" t="s">
        <v>1674</v>
      </c>
      <c r="T22" s="2041"/>
      <c r="U22" s="2042"/>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1" t="s">
        <v>1675</v>
      </c>
      <c r="T24" s="2032"/>
      <c r="U24" s="2033"/>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4" t="s">
        <v>1676</v>
      </c>
      <c r="T25" s="2035"/>
      <c r="U25" s="2036"/>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37" t="s">
        <v>1677</v>
      </c>
      <c r="T26" s="2038"/>
      <c r="U26" s="2039"/>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0" t="s">
        <v>1678</v>
      </c>
      <c r="T27" s="2041"/>
      <c r="U27" s="2042"/>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0" t="s">
        <v>1679</v>
      </c>
      <c r="T34" s="2041"/>
      <c r="U34" s="2042"/>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3" t="s">
        <v>1680</v>
      </c>
      <c r="T35" s="2044"/>
      <c r="U35" s="2045"/>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6" t="s">
        <v>1681</v>
      </c>
      <c r="T36" s="2047"/>
      <c r="U36" s="2048"/>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49" t="s">
        <v>1682</v>
      </c>
      <c r="T37" s="2050"/>
      <c r="U37" s="2051"/>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0" t="s">
        <v>1683</v>
      </c>
      <c r="T39" s="2041"/>
      <c r="U39" s="2042"/>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1" t="s">
        <v>1684</v>
      </c>
      <c r="T41" s="2032"/>
      <c r="U41" s="2033"/>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4" t="s">
        <v>1685</v>
      </c>
      <c r="T42" s="2035"/>
      <c r="U42" s="2036"/>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4" t="s">
        <v>1686</v>
      </c>
      <c r="T43" s="2035"/>
      <c r="U43" s="2036"/>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37" t="s">
        <v>1687</v>
      </c>
      <c r="T44" s="2038"/>
      <c r="U44" s="2039"/>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0" t="s">
        <v>1688</v>
      </c>
      <c r="T45" s="2041"/>
      <c r="U45" s="2042"/>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24116015</v>
      </c>
      <c r="H47" s="1586"/>
      <c r="I47" s="1825">
        <f>+ROUND(I22+I27+I34+I39+I45,0)</f>
        <v>0</v>
      </c>
      <c r="J47" s="1824">
        <f>+ROUND(J22+J27+J34+J39+J45,0)</f>
        <v>0</v>
      </c>
      <c r="K47" s="1796"/>
      <c r="L47" s="1824">
        <f>+ROUND(L22+L27+L34+L39+L45,0)</f>
        <v>0</v>
      </c>
      <c r="M47" s="1796"/>
      <c r="N47" s="1826">
        <f>+ROUND(N22+N27+N34+N39+N45,0)</f>
        <v>24116015</v>
      </c>
      <c r="O47" s="1945"/>
      <c r="P47" s="1825">
        <f>+ROUND(P22+P27+P34+P39+P45,0)</f>
        <v>54082900</v>
      </c>
      <c r="Q47" s="1824">
        <f>+ROUND(Q22+Q27+Q34+Q39+Q45,0)</f>
        <v>24116015</v>
      </c>
      <c r="R47" s="1778"/>
      <c r="S47" s="2052" t="s">
        <v>1689</v>
      </c>
      <c r="T47" s="2053"/>
      <c r="U47" s="2054"/>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31" t="s">
        <v>1690</v>
      </c>
      <c r="T50" s="2032"/>
      <c r="U50" s="2033"/>
      <c r="V50" s="1614"/>
      <c r="W50" s="1594"/>
      <c r="X50" s="1594"/>
      <c r="Y50" s="1594"/>
      <c r="Z50" s="1594"/>
    </row>
    <row r="51" spans="1:26" s="1584" customFormat="1" ht="15.75">
      <c r="A51" s="1622"/>
      <c r="B51" s="1755" t="s">
        <v>1573</v>
      </c>
      <c r="C51" s="1629"/>
      <c r="D51" s="1630"/>
      <c r="E51" s="1586"/>
      <c r="F51" s="1832">
        <f>+IF($P$2=0,$P51,0)</f>
        <v>40300</v>
      </c>
      <c r="G51" s="1831">
        <f>+IF($P$2=0,$Q51,0)</f>
        <v>46531</v>
      </c>
      <c r="H51" s="1586"/>
      <c r="I51" s="1832">
        <f>+IF(OR($P$2=98,$P$2=42,$P$2=96,$P$2=97),$P51,0)</f>
        <v>0</v>
      </c>
      <c r="J51" s="1831">
        <f>+IF(OR($P$2=98,$P$2=42,$P$2=96,$P$2=97),$Q51,0)</f>
        <v>0</v>
      </c>
      <c r="K51" s="1796"/>
      <c r="L51" s="1831">
        <f>+IF($P$2=33,$Q51,0)</f>
        <v>0</v>
      </c>
      <c r="M51" s="1796"/>
      <c r="N51" s="1799">
        <f>+ROUND(+G51+J51+L51,0)</f>
        <v>46531</v>
      </c>
      <c r="O51" s="1943"/>
      <c r="P51" s="1832">
        <f>+ROUND(+SUM(OTCHET!E216:E218),0)</f>
        <v>40300</v>
      </c>
      <c r="Q51" s="1831">
        <f>+ROUND(+SUM(OTCHET!F216:F218),0)</f>
        <v>46531</v>
      </c>
      <c r="R51" s="1778"/>
      <c r="S51" s="2034" t="s">
        <v>1691</v>
      </c>
      <c r="T51" s="2035"/>
      <c r="U51" s="2036"/>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4" t="s">
        <v>1692</v>
      </c>
      <c r="T52" s="2035"/>
      <c r="U52" s="2036"/>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4" t="s">
        <v>1693</v>
      </c>
      <c r="T53" s="2035"/>
      <c r="U53" s="2036"/>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37" t="s">
        <v>1694</v>
      </c>
      <c r="T54" s="2038"/>
      <c r="U54" s="2039"/>
      <c r="V54" s="1614"/>
      <c r="W54" s="1594"/>
      <c r="X54" s="1594"/>
      <c r="Y54" s="1594"/>
      <c r="Z54" s="1594"/>
    </row>
    <row r="55" spans="1:26" s="1584" customFormat="1" ht="15.75">
      <c r="A55" s="1622"/>
      <c r="B55" s="1660" t="s">
        <v>1577</v>
      </c>
      <c r="C55" s="1661"/>
      <c r="D55" s="1662"/>
      <c r="E55" s="1586"/>
      <c r="F55" s="1828">
        <f>+ROUND(+SUM(F50:F54),0)</f>
        <v>40300</v>
      </c>
      <c r="G55" s="1827">
        <f>+ROUND(+SUM(G50:G54),0)</f>
        <v>46531</v>
      </c>
      <c r="H55" s="1586"/>
      <c r="I55" s="1828">
        <f>+ROUND(+SUM(I50:I54),0)</f>
        <v>0</v>
      </c>
      <c r="J55" s="1827">
        <f>+ROUND(+SUM(J50:J54),0)</f>
        <v>0</v>
      </c>
      <c r="K55" s="1796"/>
      <c r="L55" s="1827">
        <f>+ROUND(+SUM(L50:L54),0)</f>
        <v>0</v>
      </c>
      <c r="M55" s="1796"/>
      <c r="N55" s="1829">
        <f>+ROUND(+SUM(N50:N54),0)</f>
        <v>46531</v>
      </c>
      <c r="O55" s="1943"/>
      <c r="P55" s="1828">
        <f>+ROUND(+SUM(P50:P54),0)</f>
        <v>40300</v>
      </c>
      <c r="Q55" s="1827">
        <f>+ROUND(+SUM(Q50:Q54),0)</f>
        <v>46531</v>
      </c>
      <c r="R55" s="1778"/>
      <c r="S55" s="2040" t="s">
        <v>1695</v>
      </c>
      <c r="T55" s="2041"/>
      <c r="U55" s="2042"/>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31" t="s">
        <v>1696</v>
      </c>
      <c r="T57" s="2032"/>
      <c r="U57" s="2033"/>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34" t="s">
        <v>1697</v>
      </c>
      <c r="T58" s="2035"/>
      <c r="U58" s="2036"/>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34" t="s">
        <v>1698</v>
      </c>
      <c r="T59" s="2035"/>
      <c r="U59" s="2036"/>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37" t="s">
        <v>1699</v>
      </c>
      <c r="T60" s="2038"/>
      <c r="U60" s="2039"/>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0" t="s">
        <v>1701</v>
      </c>
      <c r="T62" s="2041"/>
      <c r="U62" s="2042"/>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1" t="s">
        <v>1702</v>
      </c>
      <c r="T64" s="2032"/>
      <c r="U64" s="2033"/>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4" t="s">
        <v>1703</v>
      </c>
      <c r="T65" s="2035"/>
      <c r="U65" s="2036"/>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0" t="s">
        <v>1704</v>
      </c>
      <c r="T66" s="2041"/>
      <c r="U66" s="2042"/>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13155786</v>
      </c>
      <c r="H68" s="1586"/>
      <c r="I68" s="1806">
        <f>+IF(OR($P$2=98,$P$2=42,$P$2=96,$P$2=97),$P68,0)</f>
        <v>0</v>
      </c>
      <c r="J68" s="1805">
        <f>+IF(OR($P$2=98,$P$2=42,$P$2=96,$P$2=97),$Q68,0)</f>
        <v>0</v>
      </c>
      <c r="K68" s="1796"/>
      <c r="L68" s="1805">
        <f>+IF($P$2=33,$Q68,0)</f>
        <v>0</v>
      </c>
      <c r="M68" s="1796"/>
      <c r="N68" s="1807">
        <f>+ROUND(+G68+J68+L68,0)</f>
        <v>13155786</v>
      </c>
      <c r="O68" s="1943"/>
      <c r="P68" s="1806">
        <f>+ROUND(+SUM(OTCHET!E255:E258)+IF(+OR(OTCHET!$F$12="5500",OTCHET!$F$12="5600"),+OTCHET!E297,0),0)</f>
        <v>30093100</v>
      </c>
      <c r="Q68" s="1805">
        <f>+ROUND(+SUM(OTCHET!F255:F258)+IF(+OR(OTCHET!$F$12="5500",OTCHET!$F$12="5600"),+OTCHET!F297,0),0)</f>
        <v>13155786</v>
      </c>
      <c r="R68" s="1778"/>
      <c r="S68" s="2031" t="s">
        <v>1705</v>
      </c>
      <c r="T68" s="2032"/>
      <c r="U68" s="2033"/>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34" t="s">
        <v>1706</v>
      </c>
      <c r="T69" s="2035"/>
      <c r="U69" s="2036"/>
      <c r="V69" s="1614"/>
      <c r="W69" s="1594"/>
      <c r="X69" s="1594"/>
      <c r="Y69" s="1594"/>
      <c r="Z69" s="1594"/>
    </row>
    <row r="70" spans="1:26" s="1584" customFormat="1" ht="15.75">
      <c r="A70" s="1622"/>
      <c r="B70" s="1660" t="s">
        <v>1590</v>
      </c>
      <c r="C70" s="1661"/>
      <c r="D70" s="1662"/>
      <c r="E70" s="1586"/>
      <c r="F70" s="1828">
        <f>+ROUND(+SUM(F68:F69),0)</f>
        <v>30093100</v>
      </c>
      <c r="G70" s="1827">
        <f>+ROUND(+SUM(G68:G69),0)</f>
        <v>13155786</v>
      </c>
      <c r="H70" s="1586"/>
      <c r="I70" s="1828">
        <f>+ROUND(+SUM(I68:I69),0)</f>
        <v>0</v>
      </c>
      <c r="J70" s="1827">
        <f>+ROUND(+SUM(J68:J69),0)</f>
        <v>0</v>
      </c>
      <c r="K70" s="1796"/>
      <c r="L70" s="1827">
        <f>+ROUND(+SUM(L68:L69),0)</f>
        <v>0</v>
      </c>
      <c r="M70" s="1796"/>
      <c r="N70" s="1829">
        <f>+ROUND(+SUM(N68:N69),0)</f>
        <v>13155786</v>
      </c>
      <c r="O70" s="1943"/>
      <c r="P70" s="1828">
        <f>+ROUND(+SUM(P68:P69),0)</f>
        <v>30093100</v>
      </c>
      <c r="Q70" s="1827">
        <f>+ROUND(+SUM(Q68:Q69),0)</f>
        <v>13155786</v>
      </c>
      <c r="R70" s="1778"/>
      <c r="S70" s="2040" t="s">
        <v>1707</v>
      </c>
      <c r="T70" s="2041"/>
      <c r="U70" s="2042"/>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31" t="s">
        <v>1708</v>
      </c>
      <c r="T72" s="2032"/>
      <c r="U72" s="2033"/>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34" t="s">
        <v>1709</v>
      </c>
      <c r="T73" s="2035"/>
      <c r="U73" s="2036"/>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0" t="s">
        <v>1710</v>
      </c>
      <c r="T74" s="2041"/>
      <c r="U74" s="2042"/>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13202317</v>
      </c>
      <c r="H76" s="1586"/>
      <c r="I76" s="1835">
        <f>+ROUND(I55+I62+I66+I70+I74,0)</f>
        <v>0</v>
      </c>
      <c r="J76" s="1834">
        <f>+ROUND(J55+J62+J66+J70+J74,0)</f>
        <v>0</v>
      </c>
      <c r="K76" s="1796"/>
      <c r="L76" s="1834">
        <f>+ROUND(L55+L62+L66+L70+L74,0)</f>
        <v>0</v>
      </c>
      <c r="M76" s="1796"/>
      <c r="N76" s="1836">
        <f>+ROUND(N55+N62+N66+N70+N74,0)</f>
        <v>13202317</v>
      </c>
      <c r="O76" s="1943"/>
      <c r="P76" s="1835">
        <f>+ROUND(P55+P62+P66+P70+P74,0)</f>
        <v>30133400</v>
      </c>
      <c r="Q76" s="1833">
        <f>+ROUND(Q55+Q62+Q66+Q70+Q74,0)</f>
        <v>13202317</v>
      </c>
      <c r="R76" s="1778"/>
      <c r="S76" s="2055" t="s">
        <v>1711</v>
      </c>
      <c r="T76" s="2056"/>
      <c r="U76" s="2057"/>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31" t="s">
        <v>1712</v>
      </c>
      <c r="T78" s="2032"/>
      <c r="U78" s="2033"/>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34" t="s">
        <v>1713</v>
      </c>
      <c r="T79" s="2035"/>
      <c r="U79" s="2036"/>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58" t="s">
        <v>1714</v>
      </c>
      <c r="T80" s="2059"/>
      <c r="U80" s="2060"/>
      <c r="V80" s="1670"/>
      <c r="W80" s="1671"/>
      <c r="X80" s="1672"/>
      <c r="Y80" s="1671"/>
      <c r="Z80" s="1671"/>
    </row>
    <row r="81" spans="1:26" s="1584" customFormat="1" ht="15.75" customHeight="1" thickBot="1">
      <c r="A81" s="1622"/>
      <c r="B81" s="2061">
        <f>+IF(+SUM(F81:N81)=0,0,"Контрола: дефицит/излишък = финансиране с обратен знак (Г. + Д. = 0)")</f>
        <v>0</v>
      </c>
      <c r="C81" s="2062"/>
      <c r="D81" s="2063"/>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10913698</v>
      </c>
      <c r="H82" s="1586"/>
      <c r="I82" s="1840">
        <f>+ROUND(I47,0)-ROUND(I76,0)+ROUND(I80,0)</f>
        <v>0</v>
      </c>
      <c r="J82" s="1841">
        <f>+ROUND(J47,0)-ROUND(J76,0)+ROUND(J80,0)</f>
        <v>0</v>
      </c>
      <c r="K82" s="1796"/>
      <c r="L82" s="1841">
        <f>+ROUND(L47,0)-ROUND(L76,0)+ROUND(L80,0)</f>
        <v>0</v>
      </c>
      <c r="M82" s="1796"/>
      <c r="N82" s="1842">
        <f>+ROUND(N47,0)-ROUND(N76,0)+ROUND(N80,0)</f>
        <v>10913698</v>
      </c>
      <c r="O82" s="1843"/>
      <c r="P82" s="1840">
        <f>+ROUND(P47,0)-ROUND(P76,0)+ROUND(P80,0)</f>
        <v>23949500</v>
      </c>
      <c r="Q82" s="1841">
        <f>+ROUND(Q47,0)-ROUND(Q76,0)+ROUND(Q80,0)</f>
        <v>10913698</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-10913698</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-10913698</v>
      </c>
      <c r="O83" s="1843"/>
      <c r="P83" s="1844">
        <f>+ROUND(P100,0)+ROUND(P119,0)+ROUND(P125,0)-ROUND(P130,0)</f>
        <v>-23949500</v>
      </c>
      <c r="Q83" s="1845">
        <f>+ROUND(Q100,0)+ROUND(Q119,0)+ROUND(Q125,0)-ROUND(Q130,0)</f>
        <v>-10913698</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31" t="s">
        <v>1715</v>
      </c>
      <c r="T86" s="2032"/>
      <c r="U86" s="2033"/>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34" t="s">
        <v>1716</v>
      </c>
      <c r="T87" s="2035"/>
      <c r="U87" s="2036"/>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0" t="s">
        <v>1717</v>
      </c>
      <c r="T88" s="2041"/>
      <c r="U88" s="2042"/>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31" t="s">
        <v>1718</v>
      </c>
      <c r="T90" s="2032"/>
      <c r="U90" s="2033"/>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34" t="s">
        <v>1719</v>
      </c>
      <c r="T91" s="2035"/>
      <c r="U91" s="2036"/>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34" t="s">
        <v>1720</v>
      </c>
      <c r="T92" s="2035"/>
      <c r="U92" s="2036"/>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37" t="s">
        <v>1721</v>
      </c>
      <c r="T93" s="2038"/>
      <c r="U93" s="2039"/>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0" t="s">
        <v>1722</v>
      </c>
      <c r="T94" s="2041"/>
      <c r="U94" s="2042"/>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-26128966</v>
      </c>
      <c r="H96" s="1586"/>
      <c r="I96" s="1795">
        <f>+IF(OR($P$2=98,$P$2=42,$P$2=96,$P$2=97),$P96,0)</f>
        <v>0</v>
      </c>
      <c r="J96" s="1823">
        <f>+IF(OR($P$2=98,$P$2=42,$P$2=96,$P$2=97),$Q96,0)</f>
        <v>0</v>
      </c>
      <c r="K96" s="1796"/>
      <c r="L96" s="1823">
        <f>+IF($P$2=33,$Q96,0)</f>
        <v>0</v>
      </c>
      <c r="M96" s="1796"/>
      <c r="N96" s="1797">
        <f>+ROUND(+G96+J96+L96,0)</f>
        <v>-26128966</v>
      </c>
      <c r="O96" s="1943"/>
      <c r="P96" s="1795">
        <f>+ROUND(OTCHET!E532+OTCHET!E537,0)</f>
        <v>-26513100</v>
      </c>
      <c r="Q96" s="1823">
        <f>+ROUND(OTCHET!F532+OTCHET!F537,0)</f>
        <v>-26128966</v>
      </c>
      <c r="R96" s="1778"/>
      <c r="S96" s="2031" t="s">
        <v>1723</v>
      </c>
      <c r="T96" s="2032"/>
      <c r="U96" s="2033"/>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34" t="s">
        <v>1724</v>
      </c>
      <c r="T97" s="2035"/>
      <c r="U97" s="2036"/>
      <c r="V97" s="1614"/>
      <c r="W97" s="1594"/>
      <c r="X97" s="1594"/>
      <c r="Y97" s="1594"/>
      <c r="Z97" s="1594"/>
    </row>
    <row r="98" spans="1:26" s="1584" customFormat="1" ht="15.75">
      <c r="A98" s="1622"/>
      <c r="B98" s="1633" t="s">
        <v>1616</v>
      </c>
      <c r="C98" s="1634"/>
      <c r="D98" s="1635"/>
      <c r="E98" s="1586"/>
      <c r="F98" s="1801">
        <f>+ROUND(+SUM(F96:F97),0)</f>
        <v>-26513100</v>
      </c>
      <c r="G98" s="1800">
        <f>+ROUND(+SUM(G96:G97),0)</f>
        <v>-26128966</v>
      </c>
      <c r="H98" s="1586"/>
      <c r="I98" s="1801">
        <f>+ROUND(+SUM(I96:I97),0)</f>
        <v>0</v>
      </c>
      <c r="J98" s="1800">
        <f>+ROUND(+SUM(J96:J97),0)</f>
        <v>0</v>
      </c>
      <c r="K98" s="1796"/>
      <c r="L98" s="1800">
        <f>+ROUND(+SUM(L96:L97),0)</f>
        <v>0</v>
      </c>
      <c r="M98" s="1796"/>
      <c r="N98" s="1802">
        <f>+ROUND(+SUM(N96:N97),0)</f>
        <v>-26128966</v>
      </c>
      <c r="O98" s="1943"/>
      <c r="P98" s="1801">
        <f>+ROUND(+SUM(P96:P97),0)</f>
        <v>-26513100</v>
      </c>
      <c r="Q98" s="1800">
        <f>+ROUND(+SUM(Q96:Q97),0)</f>
        <v>-26128966</v>
      </c>
      <c r="R98" s="1778"/>
      <c r="S98" s="2040" t="s">
        <v>1725</v>
      </c>
      <c r="T98" s="2041"/>
      <c r="U98" s="2042"/>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-26128966</v>
      </c>
      <c r="H100" s="1586"/>
      <c r="I100" s="1825">
        <f>+ROUND(I88+I94+I98,0)</f>
        <v>0</v>
      </c>
      <c r="J100" s="1824">
        <f>+ROUND(J88+J94+J98,0)</f>
        <v>0</v>
      </c>
      <c r="K100" s="1796"/>
      <c r="L100" s="1824">
        <f>+ROUND(L88+L94+L98,0)</f>
        <v>0</v>
      </c>
      <c r="M100" s="1796"/>
      <c r="N100" s="1826">
        <f>+ROUND(N88+N94+N98,0)</f>
        <v>-26128966</v>
      </c>
      <c r="O100" s="1945"/>
      <c r="P100" s="1825">
        <f>+ROUND(P88+P94+P98,0)</f>
        <v>-26513100</v>
      </c>
      <c r="Q100" s="1824">
        <f>+ROUND(Q88+Q94+Q98,0)</f>
        <v>-26128966</v>
      </c>
      <c r="R100" s="1778"/>
      <c r="S100" s="2052" t="s">
        <v>1726</v>
      </c>
      <c r="T100" s="2053"/>
      <c r="U100" s="2054"/>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31" t="s">
        <v>1727</v>
      </c>
      <c r="T103" s="2032"/>
      <c r="U103" s="2033"/>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34" t="s">
        <v>1728</v>
      </c>
      <c r="T104" s="2035"/>
      <c r="U104" s="2036"/>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0" t="s">
        <v>1729</v>
      </c>
      <c r="T105" s="2041"/>
      <c r="U105" s="2042"/>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64" t="s">
        <v>1730</v>
      </c>
      <c r="T107" s="2065"/>
      <c r="U107" s="2066"/>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67" t="s">
        <v>1731</v>
      </c>
      <c r="T108" s="2068"/>
      <c r="U108" s="2069"/>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0" t="s">
        <v>1732</v>
      </c>
      <c r="T109" s="2041"/>
      <c r="U109" s="2042"/>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31" t="s">
        <v>1733</v>
      </c>
      <c r="T111" s="2032"/>
      <c r="U111" s="2033"/>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34" t="s">
        <v>1734</v>
      </c>
      <c r="T112" s="2035"/>
      <c r="U112" s="2036"/>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0" t="s">
        <v>1735</v>
      </c>
      <c r="T113" s="2041"/>
      <c r="U113" s="2042"/>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31" t="s">
        <v>1736</v>
      </c>
      <c r="T115" s="2032"/>
      <c r="U115" s="2033"/>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34" t="s">
        <v>1737</v>
      </c>
      <c r="T116" s="2035"/>
      <c r="U116" s="2036"/>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0" t="s">
        <v>1738</v>
      </c>
      <c r="T117" s="2041"/>
      <c r="U117" s="2042"/>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5" t="s">
        <v>1739</v>
      </c>
      <c r="T119" s="2056"/>
      <c r="U119" s="2057"/>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31" t="s">
        <v>1740</v>
      </c>
      <c r="T121" s="2032"/>
      <c r="U121" s="2033"/>
      <c r="V121" s="1614"/>
      <c r="W121" s="1594"/>
      <c r="X121" s="1594"/>
      <c r="Y121" s="1594"/>
      <c r="Z121" s="1594"/>
    </row>
    <row r="122" spans="1:26" s="1584" customFormat="1" ht="15.75">
      <c r="A122" s="1622"/>
      <c r="B122" s="1755" t="s">
        <v>1637</v>
      </c>
      <c r="C122" s="1629"/>
      <c r="D122" s="1630"/>
      <c r="E122" s="1586"/>
      <c r="F122" s="1832">
        <f>+IF($P$2=0,$P122,0)</f>
        <v>0</v>
      </c>
      <c r="G122" s="1831">
        <f>+IF($P$2=0,$Q122,0)</f>
        <v>-103565</v>
      </c>
      <c r="H122" s="1586"/>
      <c r="I122" s="1832">
        <f>+IF(OR($P$2=98,$P$2=42,$P$2=96,$P$2=97),$P122,0)</f>
        <v>0</v>
      </c>
      <c r="J122" s="1831">
        <f>+IF(OR($P$2=98,$P$2=42,$P$2=96,$P$2=97),$Q122,0)</f>
        <v>0</v>
      </c>
      <c r="K122" s="1796"/>
      <c r="L122" s="1831">
        <f>+IF($P$2=33,$Q122,0)</f>
        <v>0</v>
      </c>
      <c r="M122" s="1796"/>
      <c r="N122" s="1799">
        <f>+ROUND(+G122+J122+L122,0)</f>
        <v>-103565</v>
      </c>
      <c r="O122" s="1943"/>
      <c r="P122" s="1832">
        <f>+ROUND(OTCHET!E520,0)</f>
        <v>0</v>
      </c>
      <c r="Q122" s="1831">
        <f>+ROUND(OTCHET!F520,0)</f>
        <v>-103565</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70149</v>
      </c>
      <c r="H123" s="1586"/>
      <c r="I123" s="1832">
        <f>+IF(OR($P$2=98,$P$2=42,$P$2=96,$P$2=97),$P123,0)</f>
        <v>0</v>
      </c>
      <c r="J123" s="1831">
        <f>+IF(OR($P$2=98,$P$2=42,$P$2=96,$P$2=97),$Q123,0)</f>
        <v>0</v>
      </c>
      <c r="K123" s="1796"/>
      <c r="L123" s="1831">
        <f>+IF($P$2=33,$Q123,0)</f>
        <v>0</v>
      </c>
      <c r="M123" s="1796"/>
      <c r="N123" s="1799">
        <f>+ROUND(+G123+J123+L123,0)</f>
        <v>70149</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70149</v>
      </c>
      <c r="R123" s="1778"/>
      <c r="S123" s="2034" t="s">
        <v>1742</v>
      </c>
      <c r="T123" s="2035"/>
      <c r="U123" s="2036"/>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79" t="s">
        <v>1743</v>
      </c>
      <c r="T124" s="2080"/>
      <c r="U124" s="2081"/>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-33416</v>
      </c>
      <c r="H125" s="1586"/>
      <c r="I125" s="1838">
        <f>+ROUND(+SUM(I121:I124),0)</f>
        <v>0</v>
      </c>
      <c r="J125" s="1837">
        <f>+ROUND(+SUM(J121:J124),0)</f>
        <v>0</v>
      </c>
      <c r="K125" s="1796"/>
      <c r="L125" s="1837">
        <f>+ROUND(+SUM(L121:L124),0)</f>
        <v>0</v>
      </c>
      <c r="M125" s="1796"/>
      <c r="N125" s="1839">
        <f>+ROUND(+SUM(N121:N124),0)</f>
        <v>-33416</v>
      </c>
      <c r="O125" s="1943"/>
      <c r="P125" s="1838">
        <f>+ROUND(+SUM(P121:P124),0)</f>
        <v>0</v>
      </c>
      <c r="Q125" s="1837">
        <f>+ROUND(+SUM(Q121:Q124),0)</f>
        <v>-33416</v>
      </c>
      <c r="R125" s="1778"/>
      <c r="S125" s="2058" t="s">
        <v>1744</v>
      </c>
      <c r="T125" s="2059"/>
      <c r="U125" s="2060"/>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53884490</v>
      </c>
      <c r="H127" s="1586"/>
      <c r="I127" s="1795">
        <f>+IF(OR($P$2=98,$P$2=42,$P$2=96,$P$2=97),$P127,0)</f>
        <v>0</v>
      </c>
      <c r="J127" s="1823">
        <f>+IF(OR($P$2=98,$P$2=42,$P$2=96,$P$2=97),$Q127,0)</f>
        <v>0</v>
      </c>
      <c r="K127" s="1796"/>
      <c r="L127" s="1823">
        <f>+IF($P$2=33,$Q127,0)</f>
        <v>0</v>
      </c>
      <c r="M127" s="1796"/>
      <c r="N127" s="1797">
        <f>+ROUND(+G127+J127+L127,0)</f>
        <v>53884490</v>
      </c>
      <c r="O127" s="1943"/>
      <c r="P127" s="1795">
        <f>+ROUND(+SUM(OTCHET!E563:E568)+SUM(OTCHET!E577:E578)+IF(AND(OTCHET!$F$12="9900",+OTCHET!$E$15=0),0,SUM(OTCHET!E583:E584)),0)</f>
        <v>14770900</v>
      </c>
      <c r="Q127" s="1823">
        <f>+ROUND(+SUM(OTCHET!F563:F568)+SUM(OTCHET!F577:F578)+IF(AND(OTCHET!$F$12="9900",+OTCHET!$E$15=0),0,SUM(OTCHET!F583:F584)),0)</f>
        <v>53884490</v>
      </c>
      <c r="R127" s="1778"/>
      <c r="S127" s="2031" t="s">
        <v>1745</v>
      </c>
      <c r="T127" s="2032"/>
      <c r="U127" s="2033"/>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34" t="s">
        <v>1746</v>
      </c>
      <c r="T128" s="2035"/>
      <c r="U128" s="2036"/>
      <c r="V128" s="1614"/>
      <c r="W128" s="1594"/>
      <c r="X128" s="1594"/>
      <c r="Y128" s="1594"/>
      <c r="Z128" s="1594"/>
    </row>
    <row r="129" spans="1:26" s="1584" customFormat="1" ht="15.75">
      <c r="A129" s="1622"/>
      <c r="B129" s="1776" t="s">
        <v>1642</v>
      </c>
      <c r="C129" s="1686"/>
      <c r="D129" s="1687"/>
      <c r="E129" s="1586"/>
      <c r="F129" s="1832">
        <f>+IF($P$2=0,$P129,0)</f>
        <v>12207300</v>
      </c>
      <c r="G129" s="1831">
        <f>+IF($P$2=0,$Q129,0)</f>
        <v>38635806</v>
      </c>
      <c r="H129" s="1586"/>
      <c r="I129" s="1832">
        <f>+IF(OR($P$2=98,$P$2=42,$P$2=96,$P$2=97),$P129,0)</f>
        <v>0</v>
      </c>
      <c r="J129" s="1831">
        <f>+IF(OR($P$2=98,$P$2=42,$P$2=96,$P$2=97),$Q129,0)</f>
        <v>0</v>
      </c>
      <c r="K129" s="1796"/>
      <c r="L129" s="1831">
        <f>+IF($P$2=33,$Q129,0)</f>
        <v>0</v>
      </c>
      <c r="M129" s="1796"/>
      <c r="N129" s="1799">
        <f>+ROUND(+G129+J129+L129,0)</f>
        <v>38635806</v>
      </c>
      <c r="O129" s="1943"/>
      <c r="P129" s="1832">
        <f>+ROUND(-SUM(OTCHET!E569:E574)-SUM(OTCHET!E579:E580)-IF(AND(OTCHET!$F$12="9900",+OTCHET!$E$15=0),0,SUM(OTCHET!E585:E586)),0)</f>
        <v>12207300</v>
      </c>
      <c r="Q129" s="1831">
        <f>+ROUND(-SUM(OTCHET!F569:F574)-SUM(OTCHET!F579:F580)-IF(AND(OTCHET!$F$12="9900",+OTCHET!$E$15=0),0,SUM(OTCHET!F585:F586)),0)</f>
        <v>38635806</v>
      </c>
      <c r="R129" s="1778"/>
      <c r="S129" s="2070" t="s">
        <v>1747</v>
      </c>
      <c r="T129" s="2071"/>
      <c r="U129" s="2072"/>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-15248684</v>
      </c>
      <c r="H130" s="1586"/>
      <c r="I130" s="1851">
        <f>+ROUND(+I129-I127-I128,0)</f>
        <v>0</v>
      </c>
      <c r="J130" s="1852">
        <f>+ROUND(+J129-J127-J128,0)</f>
        <v>0</v>
      </c>
      <c r="K130" s="1796"/>
      <c r="L130" s="1852">
        <f>+ROUND(+L129-L127-L128,0)</f>
        <v>0</v>
      </c>
      <c r="M130" s="1796"/>
      <c r="N130" s="1946">
        <f>+ROUND(+N129-N127-N128,0)</f>
        <v>-15248684</v>
      </c>
      <c r="O130" s="1943"/>
      <c r="P130" s="1851">
        <f>+ROUND(+P129-P127-P128,0)</f>
        <v>-2563600</v>
      </c>
      <c r="Q130" s="1852">
        <f>+ROUND(+Q129-Q127-Q128,0)</f>
        <v>-15248684</v>
      </c>
      <c r="R130" s="1778"/>
      <c r="S130" s="2073" t="s">
        <v>1748</v>
      </c>
      <c r="T130" s="2074"/>
      <c r="U130" s="2075"/>
      <c r="V130" s="1670"/>
      <c r="W130" s="1671"/>
      <c r="X130" s="1672"/>
      <c r="Y130" s="1671"/>
      <c r="Z130" s="1671"/>
    </row>
    <row r="131" spans="1:26" s="1584" customFormat="1" ht="16.5" customHeight="1" thickTop="1">
      <c r="A131" s="1578"/>
      <c r="B131" s="2076">
        <f>+IF(+SUM(F131:N131)=0,0,"Контрола: дефицит/излишък = финансиране с обратен знак (Г. + Д. = 0)")</f>
        <v>0</v>
      </c>
      <c r="C131" s="2076"/>
      <c r="D131" s="207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42901</v>
      </c>
      <c r="D132" s="1626" t="s">
        <v>1645</v>
      </c>
      <c r="E132" s="1586"/>
      <c r="F132" s="2077"/>
      <c r="G132" s="2077"/>
      <c r="H132" s="1586"/>
      <c r="I132" s="1694" t="s">
        <v>1646</v>
      </c>
      <c r="J132" s="1695"/>
      <c r="K132" s="1586"/>
      <c r="L132" s="2077"/>
      <c r="M132" s="2077"/>
      <c r="N132" s="2077"/>
      <c r="O132" s="1692"/>
      <c r="P132" s="2078"/>
      <c r="Q132" s="207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42886</v>
      </c>
      <c r="G11" s="1940" t="s">
        <v>1526</v>
      </c>
      <c r="H11" s="1941">
        <f>+OTCHET!H9</f>
        <v>0</v>
      </c>
      <c r="I11" s="2021">
        <f>+OTCHET!I9</f>
        <v>0</v>
      </c>
      <c r="J11" s="2022"/>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24116015</v>
      </c>
      <c r="G22" s="965">
        <f t="shared" si="0"/>
        <v>21698137</v>
      </c>
      <c r="H22" s="966">
        <f t="shared" si="0"/>
        <v>0</v>
      </c>
      <c r="I22" s="966">
        <f t="shared" si="0"/>
        <v>0</v>
      </c>
      <c r="J22" s="967">
        <f t="shared" si="0"/>
        <v>2417878</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16647535</v>
      </c>
      <c r="G23" s="968">
        <f>OTCHET!G22+OTCHET!G28+OTCHET!G33+OTCHET!G39+OTCHET!G47+OTCHET!G52+OTCHET!G58+OTCHET!G61+OTCHET!G64+OTCHET!G65+OTCHET!G72+OTCHET!G73+OTCHET!G74</f>
        <v>14229657</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2417878</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7468480</v>
      </c>
      <c r="G25" s="974">
        <f aca="true" t="shared" si="2" ref="G25:M25">+G26+G30+G31+G32+G33</f>
        <v>7468480</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7467093</v>
      </c>
      <c r="G26" s="977">
        <f>OTCHET!G75</f>
        <v>7467093</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1387</v>
      </c>
      <c r="G31" s="992">
        <f>OTCHET!G108</f>
        <v>1387</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13202317</v>
      </c>
      <c r="G38" s="1007">
        <f t="shared" si="3"/>
        <v>13202317</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46531</v>
      </c>
      <c r="G42" s="992">
        <f>+OTCHET!G204+OTCHET!G222+OTCHET!G271</f>
        <v>46531</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13155786</v>
      </c>
      <c r="G45" s="1013">
        <f>+OTCHET!G255+OTCHET!G256+OTCHET!G257+OTCHET!G258</f>
        <v>13155786</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10913698</v>
      </c>
      <c r="G62" s="1043">
        <f t="shared" si="5"/>
        <v>8495820</v>
      </c>
      <c r="H62" s="1044">
        <f t="shared" si="5"/>
        <v>0</v>
      </c>
      <c r="I62" s="1044">
        <f t="shared" si="5"/>
        <v>0</v>
      </c>
      <c r="J62" s="1045">
        <f t="shared" si="5"/>
        <v>2417878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-10913698</v>
      </c>
      <c r="G64" s="1046">
        <f aca="true" t="shared" si="7" ref="G64:L64">SUM(+G66+G74+G75+G82+G83+G84+G87+G88+G89+G90+G91+G92+G93)</f>
        <v>-8495820</v>
      </c>
      <c r="H64" s="1047">
        <f>SUM(+H66+H74+H75+H82+H83+H84+H87+H88+H89+H90+H91+H92+H93)</f>
        <v>0</v>
      </c>
      <c r="I64" s="1047">
        <f>SUM(+I66+I74+I75+I82+I83+I84+I87+I88+I89+I90+I91+I92+I93)</f>
        <v>0</v>
      </c>
      <c r="J64" s="1048">
        <f>SUM(+J66+J74+J75+J82+J83+J84+J87+J88+J89+J90+J91+J92+J93)</f>
        <v>-2417878</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-26128966</v>
      </c>
      <c r="G83" s="1031">
        <f>OTCHET!G532</f>
        <v>-26128966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-103565</v>
      </c>
      <c r="G84" s="1034">
        <f aca="true" t="shared" si="10" ref="G84:M84">+G85+G86</f>
        <v>-103565</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-103565</v>
      </c>
      <c r="G86" s="1058">
        <f>+OTCHET!G517+OTCHET!G520+OTCHET!G540</f>
        <v>-103565</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70149</v>
      </c>
      <c r="G87" s="1028">
        <f>OTCHET!G527</f>
        <v>2488027</v>
      </c>
      <c r="H87" s="1029">
        <f>OTCHET!H527</f>
        <v>0</v>
      </c>
      <c r="I87" s="1029">
        <f>OTCHET!I527</f>
        <v>0</v>
      </c>
      <c r="J87" s="1030">
        <f>OTCHET!J527</f>
        <v>-2417878</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-38635806</v>
      </c>
      <c r="G92" s="992">
        <f>+OTCHET!G585+OTCHET!G586</f>
        <v>-38635806</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926-13-01</v>
      </c>
      <c r="H105" s="1386">
        <f>+OTCHET!F601</f>
        <v>0</v>
      </c>
      <c r="I105" s="1387"/>
      <c r="J105" s="1948">
        <f>+OTCHET!B601</f>
        <v>42901</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t="str">
        <f>OTCHET!B9</f>
        <v>НАЦИОНАЛЕН ОСИГУРИТЕЛЕН ИНСТИТУТ</v>
      </c>
      <c r="C9" s="2180"/>
      <c r="D9" s="2180"/>
      <c r="E9" s="52">
        <f>OTCHET!$E9</f>
        <v>42736</v>
      </c>
      <c r="F9" s="53">
        <f>OTCHET!$F9</f>
        <v>42886</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осигурителен институт - Учителски пенсионен фонд</v>
      </c>
      <c r="C12" s="2180"/>
      <c r="D12" s="2180"/>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40847400</v>
      </c>
      <c r="F25" s="185">
        <f>OTCHET!$F39</f>
        <v>16647535</v>
      </c>
      <c r="G25" s="71">
        <f>OTCHET!$G39</f>
        <v>14229657</v>
      </c>
      <c r="H25" s="71">
        <f>OTCHET!$H39</f>
        <v>0</v>
      </c>
      <c r="I25" s="71">
        <f>OTCHET!$I39</f>
        <v>0</v>
      </c>
      <c r="J25" s="71">
        <f>OTCHET!$J39</f>
        <v>2417878</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13229000</v>
      </c>
      <c r="F35" s="185">
        <f>OTCHET!$F75</f>
        <v>7467093</v>
      </c>
      <c r="G35" s="71">
        <f>OTCHET!$G75</f>
        <v>7467093</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6000</v>
      </c>
      <c r="F39" s="185">
        <f>OTCHET!$F108</f>
        <v>1387</v>
      </c>
      <c r="G39" s="71">
        <f>OTCHET!$G108</f>
        <v>1387</v>
      </c>
      <c r="H39" s="71">
        <f>OTCHET!$H108</f>
        <v>0</v>
      </c>
      <c r="I39" s="71">
        <f>OTCHET!$I108</f>
        <v>0</v>
      </c>
      <c r="J39" s="71">
        <f>OTCHET!$J108</f>
        <v>0</v>
      </c>
      <c r="K39" s="176">
        <f t="shared" si="0"/>
        <v>1</v>
      </c>
    </row>
    <row r="40" spans="1:11" s="69" customFormat="1" ht="21">
      <c r="A40" s="76">
        <v>470</v>
      </c>
      <c r="B40" s="70">
        <v>3600</v>
      </c>
      <c r="C40" s="2130" t="s">
        <v>836</v>
      </c>
      <c r="D40" s="213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24116015</v>
      </c>
      <c r="G49" s="86">
        <f>OTCHET!$G168</f>
        <v>21698137</v>
      </c>
      <c r="H49" s="86">
        <f>OTCHET!$H168</f>
        <v>0</v>
      </c>
      <c r="I49" s="86">
        <f>OTCHET!$I168</f>
        <v>0</v>
      </c>
      <c r="J49" s="86">
        <f>OTCHET!$J168</f>
        <v>2417878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t="str">
        <f>$B$9</f>
        <v>НАЦИОНАЛЕН ОСИГУРИТЕЛЕН ИНСТИТУТ</v>
      </c>
      <c r="C56" s="2093"/>
      <c r="D56" s="2093"/>
      <c r="E56" s="95">
        <f>$E$9</f>
        <v>42736</v>
      </c>
      <c r="F56" s="96">
        <f>$F$9</f>
        <v>42886</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осигурителен институт - Учителски пенсионен фонд</v>
      </c>
      <c r="C59" s="2093"/>
      <c r="D59" s="2093"/>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4" t="s">
        <v>507</v>
      </c>
      <c r="D67" s="212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0" t="s">
        <v>909</v>
      </c>
      <c r="D68" s="213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40300</v>
      </c>
      <c r="F70" s="185">
        <f>OTCHET!$F204</f>
        <v>46531</v>
      </c>
      <c r="G70" s="71">
        <f>OTCHET!$G204</f>
        <v>46531</v>
      </c>
      <c r="H70" s="71">
        <f>OTCHET!$H204</f>
        <v>0</v>
      </c>
      <c r="I70" s="71">
        <f>OTCHET!$I204</f>
        <v>0</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30093100</v>
      </c>
      <c r="F82" s="185">
        <f>OTCHET!$F257</f>
        <v>13155786</v>
      </c>
      <c r="G82" s="71">
        <f>OTCHET!$G257</f>
        <v>13155786</v>
      </c>
      <c r="H82" s="71">
        <f>OTCHET!$H257</f>
        <v>0</v>
      </c>
      <c r="I82" s="71">
        <f>OTCHET!$I257</f>
        <v>0</v>
      </c>
      <c r="J82" s="71">
        <f>OTCHET!$J257</f>
        <v>0</v>
      </c>
      <c r="K82" s="176">
        <f t="shared" si="1"/>
        <v>1</v>
      </c>
      <c r="L82" s="104"/>
      <c r="M82" s="205"/>
      <c r="N82" s="104"/>
      <c r="O82" s="105"/>
    </row>
    <row r="83" spans="1:15" s="69" customFormat="1" ht="21">
      <c r="A83" s="76">
        <v>495</v>
      </c>
      <c r="B83" s="70">
        <v>4200</v>
      </c>
      <c r="C83" s="2104" t="s">
        <v>954</v>
      </c>
      <c r="D83" s="210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30133400</v>
      </c>
      <c r="F96" s="86">
        <f>OTCHET!$F301</f>
        <v>13202317</v>
      </c>
      <c r="G96" s="86">
        <f>OTCHET!$G301</f>
        <v>13202317</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t="str">
        <f>$B$9</f>
        <v>НАЦИОНАЛЕН ОСИГУРИТЕЛЕН ИНСТИТУТ</v>
      </c>
      <c r="C101" s="2093"/>
      <c r="D101" s="2093"/>
      <c r="E101" s="95">
        <f>$E$9</f>
        <v>42736</v>
      </c>
      <c r="F101" s="96">
        <f>$F$9</f>
        <v>42886</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осигурителен институт - Учителски пенсионен фонд</v>
      </c>
      <c r="C104" s="2093"/>
      <c r="D104" s="2093"/>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35" t="s">
        <v>334</v>
      </c>
      <c r="D124" s="2136"/>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t="str">
        <f>$B$9</f>
        <v>НАЦИОНАЛЕН ОСИГУРИТЕЛЕН ИНСТИТУТ</v>
      </c>
      <c r="C138" s="2093"/>
      <c r="D138" s="2093"/>
      <c r="E138" s="95">
        <f>$E$9</f>
        <v>42736</v>
      </c>
      <c r="F138" s="96">
        <f>$F$9</f>
        <v>42886</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осигурителен институт - Учителски пенсионен фонд</v>
      </c>
      <c r="C141" s="2093"/>
      <c r="D141" s="2093"/>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10913698</v>
      </c>
      <c r="G148" s="147">
        <f t="shared" si="3"/>
        <v>8495820</v>
      </c>
      <c r="H148" s="147">
        <f t="shared" si="3"/>
        <v>0</v>
      </c>
      <c r="I148" s="147">
        <f t="shared" si="3"/>
        <v>0</v>
      </c>
      <c r="J148" s="147">
        <f t="shared" si="3"/>
        <v>2417878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t="str">
        <f>$B$9</f>
        <v>НАЦИОНАЛЕН ОСИГУРИТЕЛЕН ИНСТИТУТ</v>
      </c>
      <c r="C154" s="2093"/>
      <c r="D154" s="2093"/>
      <c r="E154" s="95">
        <f>$E$9</f>
        <v>42736</v>
      </c>
      <c r="F154" s="96">
        <f>$F$9</f>
        <v>42886</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осигурителен институт - Учителски пенсионен фонд</v>
      </c>
      <c r="C157" s="2093"/>
      <c r="D157" s="2093"/>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-103565</v>
      </c>
      <c r="G176" s="122">
        <f>OTCHET!$G520</f>
        <v>-103565</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70149</v>
      </c>
      <c r="G177" s="122">
        <f>OTCHET!$G527</f>
        <v>2488027</v>
      </c>
      <c r="H177" s="122">
        <f>OTCHET!$H527</f>
        <v>0</v>
      </c>
      <c r="I177" s="122">
        <f>OTCHET!$I527</f>
        <v>0</v>
      </c>
      <c r="J177" s="122">
        <f>OTCHET!$J527</f>
        <v>-2417878</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-26513100</v>
      </c>
      <c r="F179" s="193">
        <f>OTCHET!$F532</f>
        <v>-26128966</v>
      </c>
      <c r="G179" s="122">
        <f>OTCHET!$G532</f>
        <v>-26128966</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00" t="s">
        <v>1067</v>
      </c>
      <c r="D183" s="2101"/>
      <c r="E183" s="192">
        <f>OTCHET!$E582</f>
        <v>2563600</v>
      </c>
      <c r="F183" s="193">
        <f>OTCHET!$F582</f>
        <v>15248684</v>
      </c>
      <c r="G183" s="122">
        <f>OTCHET!$G582</f>
        <v>15248684</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098" t="s">
        <v>1316</v>
      </c>
      <c r="D185" s="2099"/>
      <c r="E185" s="86">
        <f>OTCHET!$E593</f>
        <v>-23949500</v>
      </c>
      <c r="F185" s="86">
        <f>OTCHET!$F593</f>
        <v>-10913698</v>
      </c>
      <c r="G185" s="86">
        <f>OTCHET!$G593</f>
        <v>-8495820</v>
      </c>
      <c r="H185" s="86">
        <f>OTCHET!$H593</f>
        <v>0</v>
      </c>
      <c r="I185" s="86">
        <f>OTCHET!$I593</f>
        <v>0</v>
      </c>
      <c r="J185" s="86">
        <f>OTCHET!$J593</f>
        <v>-2417878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t="str">
        <f>$B$9</f>
        <v>НАЦИОНАЛЕН ОСИГУРИТЕЛЕН ИНСТИТУТ</v>
      </c>
      <c r="C191" s="2093"/>
      <c r="D191" s="2093"/>
      <c r="E191" s="95">
        <f>$E$9</f>
        <v>42736</v>
      </c>
      <c r="F191" s="96">
        <f>$F$9</f>
        <v>42886</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осигурителен институт - Учителски пенсионен фонд</v>
      </c>
      <c r="C194" s="2093"/>
      <c r="D194" s="2093"/>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30133400</v>
      </c>
      <c r="F204" s="201">
        <f>SUMIF(OTCHET!L:L,5,OTCHET!F:F)</f>
        <v>13202317</v>
      </c>
      <c r="G204" s="201">
        <f>SUMIF(OTCHET!L:L,5,OTCHET!G:G)</f>
        <v>13202317</v>
      </c>
      <c r="H204" s="201">
        <f>SUMIF(OTCHET!L:L,5,OTCHET!H:H)</f>
        <v>0</v>
      </c>
      <c r="I204" s="201">
        <f>SUMIF(OTCHET!L:L,5,OTCHET!I:I)</f>
        <v>0</v>
      </c>
      <c r="J204" s="201">
        <f>SUMIF(OTCHET!L:L,5,OTCHET!J:J)</f>
        <v>0</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30133400</v>
      </c>
      <c r="F209" s="171">
        <f t="shared" si="5"/>
        <v>13202317</v>
      </c>
      <c r="G209" s="171">
        <f t="shared" si="5"/>
        <v>13202317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D602" sqref="D60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47" t="str">
        <f>VLOOKUP(E15,SMETKA,2,FALSE)</f>
        <v>ОТЧЕТНИ ДАННИ ПО ЕБК ЗА ИЗПЪЛНЕНИЕТО НА БЮДЖЕТА</v>
      </c>
      <c r="C7" s="2248"/>
      <c r="D7" s="2248"/>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49" t="s">
        <v>2215</v>
      </c>
      <c r="C9" s="2250"/>
      <c r="D9" s="2251"/>
      <c r="E9" s="1096">
        <v>42736</v>
      </c>
      <c r="F9" s="1097">
        <v>42886</v>
      </c>
      <c r="G9" s="316"/>
      <c r="H9" s="1917"/>
      <c r="I9" s="2184"/>
      <c r="J9" s="2185"/>
      <c r="K9" s="4">
        <v>1</v>
      </c>
      <c r="L9" s="458"/>
    </row>
    <row r="10" spans="1:12" ht="15">
      <c r="A10" s="292"/>
      <c r="B10" s="309" t="s">
        <v>1359</v>
      </c>
      <c r="C10" s="292"/>
      <c r="D10" s="307"/>
      <c r="E10" s="316"/>
      <c r="F10" s="316"/>
      <c r="G10" s="316"/>
      <c r="H10" s="1089"/>
      <c r="I10" s="2186" t="s">
        <v>1660</v>
      </c>
      <c r="J10" s="2186"/>
      <c r="K10" s="4">
        <v>1</v>
      </c>
      <c r="L10" s="458"/>
    </row>
    <row r="11" spans="1:12" ht="6" customHeight="1">
      <c r="A11" s="292"/>
      <c r="B11" s="309"/>
      <c r="C11" s="292"/>
      <c r="D11" s="307"/>
      <c r="E11" s="309"/>
      <c r="F11" s="292"/>
      <c r="G11" s="316"/>
      <c r="H11" s="1089"/>
      <c r="I11" s="2187"/>
      <c r="J11" s="2187"/>
      <c r="K11" s="4">
        <v>1</v>
      </c>
      <c r="L11" s="458"/>
    </row>
    <row r="12" spans="2:12" ht="27" customHeight="1">
      <c r="B12" s="2202" t="str">
        <f>VLOOKUP(F12,PRBK,2,FALSE)</f>
        <v>Национален осигурителен институт - Учителски пенсионен фонд</v>
      </c>
      <c r="C12" s="2203"/>
      <c r="D12" s="2204"/>
      <c r="E12" s="1561" t="s">
        <v>1467</v>
      </c>
      <c r="F12" s="1950" t="s">
        <v>1859</v>
      </c>
      <c r="G12" s="316"/>
      <c r="H12" s="1089"/>
      <c r="I12" s="2187"/>
      <c r="J12" s="2187"/>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2" t="s">
        <v>760</v>
      </c>
      <c r="D22" s="2253"/>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44" t="s">
        <v>762</v>
      </c>
      <c r="D28" s="224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44" t="s">
        <v>767</v>
      </c>
      <c r="D33" s="224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44" t="s">
        <v>1307</v>
      </c>
      <c r="D39" s="2245"/>
      <c r="E39" s="326">
        <f aca="true" t="shared" si="4" ref="E39:J39">SUM(E40:E46)</f>
        <v>40847400</v>
      </c>
      <c r="F39" s="326">
        <f t="shared" si="4"/>
        <v>16647535</v>
      </c>
      <c r="G39" s="615">
        <f t="shared" si="4"/>
        <v>14229657</v>
      </c>
      <c r="H39" s="616">
        <f t="shared" si="4"/>
        <v>0</v>
      </c>
      <c r="I39" s="617">
        <f t="shared" si="4"/>
        <v>0</v>
      </c>
      <c r="J39" s="618">
        <f t="shared" si="4"/>
        <v>2417878</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16647535</v>
      </c>
      <c r="G40" s="545">
        <f>779087+2997016+3472411+3509203+3471940</f>
        <v>14229657</v>
      </c>
      <c r="H40" s="546"/>
      <c r="I40" s="546"/>
      <c r="J40" s="547">
        <f>420669+457668+504231+471485+563825</f>
        <v>2417878</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7467093</v>
      </c>
      <c r="G75" s="615">
        <f t="shared" si="12"/>
        <v>7467093</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7467093</v>
      </c>
      <c r="G86" s="548">
        <v>7467093</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1387</v>
      </c>
      <c r="G108" s="615">
        <f>+G109+G110+G111</f>
        <v>1387</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1387</v>
      </c>
      <c r="G111" s="557">
        <v>1387</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24116015</v>
      </c>
      <c r="G168" s="619">
        <f t="shared" si="31"/>
        <v>21698137</v>
      </c>
      <c r="H168" s="620">
        <f t="shared" si="31"/>
        <v>0</v>
      </c>
      <c r="I168" s="620">
        <f t="shared" si="31"/>
        <v>0</v>
      </c>
      <c r="J168" s="621">
        <f t="shared" si="31"/>
        <v>2417878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223" t="str">
        <f>$B$7</f>
        <v>ОТЧЕТНИ ДАННИ ПО ЕБК ЗА ИЗПЪЛНЕНИЕТО НА БЮДЖЕТА</v>
      </c>
      <c r="C173" s="2224"/>
      <c r="D173" s="2224"/>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218" t="str">
        <f>$B$9</f>
        <v>НАЦИОНАЛЕН ОСИГУРИТЕЛЕН ИНСТИТУТ</v>
      </c>
      <c r="C175" s="2219"/>
      <c r="D175" s="2220"/>
      <c r="E175" s="1096">
        <f>$E$9</f>
        <v>42736</v>
      </c>
      <c r="F175" s="1187">
        <f>$F$9</f>
        <v>42886</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02" t="str">
        <f>$B$12</f>
        <v>Национален осигурителен институт - Учителски пенсионен фонд</v>
      </c>
      <c r="C178" s="2203"/>
      <c r="D178" s="2204"/>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46" t="s">
        <v>504</v>
      </c>
      <c r="D186" s="2232"/>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33" t="s">
        <v>507</v>
      </c>
      <c r="D189" s="2233"/>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35" t="s">
        <v>909</v>
      </c>
      <c r="D195" s="223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36" t="s">
        <v>915</v>
      </c>
      <c r="D203" s="2237"/>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33" t="s">
        <v>916</v>
      </c>
      <c r="D204" s="2233"/>
      <c r="E204" s="465">
        <f t="shared" si="39"/>
        <v>40300</v>
      </c>
      <c r="F204" s="466">
        <f t="shared" si="39"/>
        <v>46531</v>
      </c>
      <c r="G204" s="578">
        <f t="shared" si="39"/>
        <v>46531</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46531</v>
      </c>
      <c r="G218" s="599">
        <f t="shared" si="41"/>
        <v>46531</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230" t="s">
        <v>581</v>
      </c>
      <c r="D222" s="2230"/>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230" t="s">
        <v>1095</v>
      </c>
      <c r="D226" s="2230"/>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230" t="s">
        <v>935</v>
      </c>
      <c r="D232" s="2230"/>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230" t="s">
        <v>937</v>
      </c>
      <c r="D235" s="2234"/>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31" t="s">
        <v>938</v>
      </c>
      <c r="D236" s="2232"/>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31" t="s">
        <v>939</v>
      </c>
      <c r="D237" s="2232"/>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231" t="s">
        <v>1762</v>
      </c>
      <c r="D238" s="2232"/>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230" t="s">
        <v>940</v>
      </c>
      <c r="D239" s="2230"/>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230" t="s">
        <v>951</v>
      </c>
      <c r="D255" s="2230"/>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230" t="s">
        <v>952</v>
      </c>
      <c r="D256" s="2230"/>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230" t="s">
        <v>953</v>
      </c>
      <c r="D257" s="2230"/>
      <c r="E257" s="465">
        <f t="shared" si="53"/>
        <v>30093100</v>
      </c>
      <c r="F257" s="466">
        <f t="shared" si="53"/>
        <v>13155786</v>
      </c>
      <c r="G257" s="578">
        <f t="shared" si="53"/>
        <v>13155786</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230" t="s">
        <v>954</v>
      </c>
      <c r="D258" s="2230"/>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230" t="s">
        <v>1767</v>
      </c>
      <c r="D265" s="2230"/>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230" t="s">
        <v>1764</v>
      </c>
      <c r="D269" s="2230"/>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230" t="s">
        <v>1765</v>
      </c>
      <c r="D270" s="2230"/>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231" t="s">
        <v>964</v>
      </c>
      <c r="D271" s="2232"/>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230" t="s">
        <v>585</v>
      </c>
      <c r="D272" s="2230"/>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240" t="s">
        <v>965</v>
      </c>
      <c r="D275" s="2240"/>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240" t="s">
        <v>966</v>
      </c>
      <c r="D276" s="2240"/>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240" t="s">
        <v>271</v>
      </c>
      <c r="D284" s="2240"/>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240" t="s">
        <v>982</v>
      </c>
      <c r="D287" s="2240"/>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230" t="s">
        <v>983</v>
      </c>
      <c r="D288" s="2230"/>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227" t="s">
        <v>1350</v>
      </c>
      <c r="D293" s="2228"/>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38" t="s">
        <v>992</v>
      </c>
      <c r="D297" s="223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13202317</v>
      </c>
      <c r="G301" s="761">
        <f t="shared" si="68"/>
        <v>13202317</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223" t="str">
        <f>$B$7</f>
        <v>ОТЧЕТНИ ДАННИ ПО ЕБК ЗА ИЗПЪЛНЕНИЕТО НА БЮДЖЕТА</v>
      </c>
      <c r="C306" s="2224"/>
      <c r="D306" s="2224"/>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218" t="str">
        <f>$B$9</f>
        <v>НАЦИОНАЛЕН ОСИГУРИТЕЛЕН ИНСТИТУТ</v>
      </c>
      <c r="C308" s="2219"/>
      <c r="D308" s="2220"/>
      <c r="E308" s="1096">
        <f>$E$9</f>
        <v>42736</v>
      </c>
      <c r="F308" s="1187">
        <f>$F$9</f>
        <v>42886</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02" t="str">
        <f>$B$12</f>
        <v>Национален осигурителен институт - Учителски пенсионен фонд</v>
      </c>
      <c r="C311" s="2203"/>
      <c r="D311" s="2204"/>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9" t="s">
        <v>331</v>
      </c>
      <c r="C340" s="2229"/>
      <c r="D340" s="2229"/>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223" t="str">
        <f>$B$7</f>
        <v>ОТЧЕТНИ ДАННИ ПО ЕБК ЗА ИЗПЪЛНЕНИЕТО НА БЮДЖЕТА</v>
      </c>
      <c r="C344" s="2224"/>
      <c r="D344" s="2224"/>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218" t="str">
        <f>$B$9</f>
        <v>НАЦИОНАЛЕН ОСИГУРИТЕЛЕН ИНСТИТУТ</v>
      </c>
      <c r="C346" s="2219"/>
      <c r="D346" s="2220"/>
      <c r="E346" s="1096">
        <f>$E$9</f>
        <v>42736</v>
      </c>
      <c r="F346" s="1434">
        <f>$F$9</f>
        <v>42886</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02" t="str">
        <f>$B$12</f>
        <v>Национален осигурителен институт - Учителски пенсионен фонд</v>
      </c>
      <c r="C349" s="2203"/>
      <c r="D349" s="2204"/>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5" t="s">
        <v>588</v>
      </c>
      <c r="D357" s="2226"/>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13" t="s">
        <v>600</v>
      </c>
      <c r="D371" s="221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13" t="s">
        <v>1115</v>
      </c>
      <c r="D379" s="221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13" t="s">
        <v>970</v>
      </c>
      <c r="D384" s="221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13" t="s">
        <v>971</v>
      </c>
      <c r="D387" s="221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13" t="s">
        <v>973</v>
      </c>
      <c r="D392" s="221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13" t="s">
        <v>974</v>
      </c>
      <c r="D395" s="221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13" t="s">
        <v>1371</v>
      </c>
      <c r="D398" s="221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13" t="s">
        <v>336</v>
      </c>
      <c r="D401" s="221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13" t="s">
        <v>337</v>
      </c>
      <c r="D402" s="221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13" t="s">
        <v>1029</v>
      </c>
      <c r="D405" s="221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13" t="s">
        <v>978</v>
      </c>
      <c r="D408" s="221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13" t="s">
        <v>1263</v>
      </c>
      <c r="D418" s="221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13" t="s">
        <v>1034</v>
      </c>
      <c r="D419" s="221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13" t="s">
        <v>979</v>
      </c>
      <c r="D420" s="2214"/>
      <c r="E420" s="504"/>
      <c r="F420" s="505">
        <f>G420+H420+I420+J420</f>
        <v>0</v>
      </c>
      <c r="G420" s="1553"/>
      <c r="H420" s="1554"/>
      <c r="I420" s="1554"/>
      <c r="J420" s="1555"/>
      <c r="K420" s="1569">
        <f t="shared" si="74"/>
      </c>
      <c r="L420" s="510"/>
    </row>
    <row r="421" spans="1:12" s="353" customFormat="1" ht="18" customHeight="1">
      <c r="A421" s="8">
        <v>295</v>
      </c>
      <c r="B421" s="503">
        <v>7700</v>
      </c>
      <c r="C421" s="2213" t="s">
        <v>980</v>
      </c>
      <c r="D421" s="221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13" t="s">
        <v>1445</v>
      </c>
      <c r="D422" s="221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1" t="str">
        <f>$B$7</f>
        <v>ОТЧЕТНИ ДАННИ ПО ЕБК ЗА ИЗПЪЛНЕНИЕТО НА БЮДЖЕТА</v>
      </c>
      <c r="C429" s="2222"/>
      <c r="D429" s="2222"/>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218" t="str">
        <f>$B$9</f>
        <v>НАЦИОНАЛЕН ОСИГУРИТЕЛЕН ИНСТИТУТ</v>
      </c>
      <c r="C431" s="2219"/>
      <c r="D431" s="2220"/>
      <c r="E431" s="1096">
        <f>$E$9</f>
        <v>42736</v>
      </c>
      <c r="F431" s="1434">
        <f>$F$9</f>
        <v>42886</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02" t="str">
        <f>$B$12</f>
        <v>Национален осигурителен институт - Учителски пенсионен фонд</v>
      </c>
      <c r="C434" s="2203"/>
      <c r="D434" s="2204"/>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10913698</v>
      </c>
      <c r="G441" s="1484">
        <f t="shared" si="91"/>
        <v>8495820</v>
      </c>
      <c r="H441" s="1485">
        <f t="shared" si="91"/>
        <v>0</v>
      </c>
      <c r="I441" s="1485">
        <f t="shared" si="91"/>
        <v>0</v>
      </c>
      <c r="J441" s="1486">
        <f t="shared" si="91"/>
        <v>2417878</v>
      </c>
      <c r="K441" s="4">
        <v>1</v>
      </c>
      <c r="L441" s="533"/>
    </row>
    <row r="442" spans="1:12" ht="16.5" thickBot="1">
      <c r="A442" s="9"/>
      <c r="B442" s="1156"/>
      <c r="C442" s="1157"/>
      <c r="D442" s="1487" t="s">
        <v>1375</v>
      </c>
      <c r="E442" s="1488">
        <f aca="true" t="shared" si="92" ref="E442:J443">+E593</f>
        <v>-23949500</v>
      </c>
      <c r="F442" s="1488">
        <f t="shared" si="92"/>
        <v>-10913698</v>
      </c>
      <c r="G442" s="1489">
        <f t="shared" si="92"/>
        <v>-8495820</v>
      </c>
      <c r="H442" s="1490">
        <f t="shared" si="92"/>
        <v>0</v>
      </c>
      <c r="I442" s="1490">
        <f t="shared" si="92"/>
        <v>0</v>
      </c>
      <c r="J442" s="1491">
        <f t="shared" si="92"/>
        <v>-2417878</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223" t="str">
        <f>$B$7</f>
        <v>ОТЧЕТНИ ДАННИ ПО ЕБК ЗА ИЗПЪЛНЕНИЕТО НА БЮДЖЕТА</v>
      </c>
      <c r="C445" s="2224"/>
      <c r="D445" s="2224"/>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218" t="str">
        <f>$B$9</f>
        <v>НАЦИОНАЛЕН ОСИГУРИТЕЛЕН ИНСТИТУТ</v>
      </c>
      <c r="C447" s="2219"/>
      <c r="D447" s="2220"/>
      <c r="E447" s="1096">
        <f>$E$9</f>
        <v>42736</v>
      </c>
      <c r="F447" s="1434">
        <f>$F$9</f>
        <v>42886</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02" t="str">
        <f>$B$12</f>
        <v>Национален осигурителен институт - Учителски пенсионен фонд</v>
      </c>
      <c r="C450" s="2203"/>
      <c r="D450" s="2204"/>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197" t="s">
        <v>1265</v>
      </c>
      <c r="D457" s="2198"/>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196" t="s">
        <v>1268</v>
      </c>
      <c r="D461" s="2196"/>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196" t="s">
        <v>2182</v>
      </c>
      <c r="D464" s="2196"/>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197" t="s">
        <v>1271</v>
      </c>
      <c r="D467" s="2198"/>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199" t="s">
        <v>1278</v>
      </c>
      <c r="D474" s="2200"/>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01" t="s">
        <v>1378</v>
      </c>
      <c r="D477" s="2201"/>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07" t="s">
        <v>1385</v>
      </c>
      <c r="D493" s="2215"/>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07" t="s">
        <v>155</v>
      </c>
      <c r="D498" s="2215"/>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06" t="s">
        <v>1394</v>
      </c>
      <c r="D499" s="2206"/>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01" t="s">
        <v>164</v>
      </c>
      <c r="D508" s="2201"/>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01" t="s">
        <v>168</v>
      </c>
      <c r="D512" s="2201"/>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01" t="s">
        <v>1384</v>
      </c>
      <c r="D517" s="221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07" t="s">
        <v>1383</v>
      </c>
      <c r="D520" s="2208"/>
      <c r="E520" s="1781">
        <f aca="true" t="shared" si="108" ref="E520:J520">SUM(E521:E526)</f>
        <v>0</v>
      </c>
      <c r="F520" s="666">
        <f t="shared" si="108"/>
        <v>-103565</v>
      </c>
      <c r="G520" s="734">
        <f t="shared" si="108"/>
        <v>-103565</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-103565</v>
      </c>
      <c r="G525" s="548">
        <v>-103565</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16" t="s">
        <v>1119</v>
      </c>
      <c r="D527" s="2217"/>
      <c r="E527" s="1781">
        <f aca="true" t="shared" si="111" ref="E527:J527">SUM(E528:E530)</f>
        <v>0</v>
      </c>
      <c r="F527" s="666">
        <f t="shared" si="111"/>
        <v>70149</v>
      </c>
      <c r="G527" s="734">
        <f t="shared" si="111"/>
        <v>2488027</v>
      </c>
      <c r="H527" s="732">
        <f t="shared" si="111"/>
        <v>0</v>
      </c>
      <c r="I527" s="732">
        <f t="shared" si="111"/>
        <v>0</v>
      </c>
      <c r="J527" s="700">
        <f t="shared" si="111"/>
        <v>-2417878</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70149</v>
      </c>
      <c r="G528" s="545">
        <f>520450+520450+166630+441123+435219+404155</f>
        <v>2488027</v>
      </c>
      <c r="H528" s="546"/>
      <c r="I528" s="546"/>
      <c r="J528" s="547">
        <f>-420669-457668-504231-471485-563825</f>
        <v>-2417878</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01" t="s">
        <v>1476</v>
      </c>
      <c r="D531" s="2201"/>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11" t="s">
        <v>1379</v>
      </c>
      <c r="D532" s="2211"/>
      <c r="E532" s="1782">
        <f aca="true" t="shared" si="112" ref="E532:J532">SUM(E533:E536)</f>
        <v>-26513100</v>
      </c>
      <c r="F532" s="672">
        <f t="shared" si="112"/>
        <v>-26128966</v>
      </c>
      <c r="G532" s="743">
        <f t="shared" si="112"/>
        <v>-26128966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-75679729</v>
      </c>
      <c r="G533" s="545">
        <v>-75679729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05" t="s">
        <v>1380</v>
      </c>
      <c r="D537" s="2208"/>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01" t="s">
        <v>1381</v>
      </c>
      <c r="D540" s="2201"/>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05" t="s">
        <v>1391</v>
      </c>
      <c r="D562" s="2205"/>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05" t="s">
        <v>1382</v>
      </c>
      <c r="D582" s="2208"/>
      <c r="E582" s="1781">
        <f aca="true" t="shared" si="118" ref="E582:J582">SUM(E583:E586)</f>
        <v>2563600</v>
      </c>
      <c r="F582" s="666">
        <f t="shared" si="118"/>
        <v>15248684</v>
      </c>
      <c r="G582" s="734">
        <f t="shared" si="118"/>
        <v>15248684</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-8635806</v>
      </c>
      <c r="G585" s="554">
        <v>-8635806</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-30000000</v>
      </c>
      <c r="G586" s="557">
        <v>-30000000</v>
      </c>
      <c r="H586" s="1531">
        <v>0</v>
      </c>
      <c r="I586" s="1531">
        <v>0</v>
      </c>
      <c r="J586" s="1536">
        <v>0</v>
      </c>
      <c r="K586" s="1569">
        <f t="shared" si="119"/>
        <v>1</v>
      </c>
      <c r="L586" s="689"/>
    </row>
    <row r="587" spans="1:26" s="353" customFormat="1" ht="18" customHeight="1">
      <c r="A587" s="17">
        <v>575</v>
      </c>
      <c r="B587" s="540">
        <v>9800</v>
      </c>
      <c r="C587" s="2205" t="s">
        <v>645</v>
      </c>
      <c r="D587" s="2208"/>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-10913698</v>
      </c>
      <c r="G593" s="1521">
        <f t="shared" si="121"/>
        <v>-8495820</v>
      </c>
      <c r="H593" s="1522">
        <f t="shared" si="121"/>
        <v>0</v>
      </c>
      <c r="I593" s="1522">
        <f t="shared" si="121"/>
        <v>0</v>
      </c>
      <c r="J593" s="1523">
        <f t="shared" si="121"/>
        <v>-2417878</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193" t="s">
        <v>2214</v>
      </c>
      <c r="H596" s="2194"/>
      <c r="I596" s="2194"/>
      <c r="J596" s="2195"/>
      <c r="K596" s="4">
        <v>1</v>
      </c>
      <c r="L596" s="691"/>
    </row>
    <row r="597" spans="1:12" ht="18.75" customHeight="1">
      <c r="A597" s="9"/>
      <c r="B597" s="1156"/>
      <c r="C597" s="1157"/>
      <c r="D597" s="1159"/>
      <c r="E597" s="779"/>
      <c r="F597" s="1157"/>
      <c r="G597" s="2191" t="s">
        <v>1455</v>
      </c>
      <c r="H597" s="2191"/>
      <c r="I597" s="2191"/>
      <c r="J597" s="2191"/>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2218</v>
      </c>
      <c r="E599" s="1163"/>
      <c r="F599" s="386" t="s">
        <v>1449</v>
      </c>
      <c r="G599" s="2188" t="s">
        <v>2216</v>
      </c>
      <c r="H599" s="2189"/>
      <c r="I599" s="2189"/>
      <c r="J599" s="2190"/>
      <c r="K599" s="4">
        <v>1</v>
      </c>
      <c r="L599" s="691"/>
    </row>
    <row r="600" spans="1:12" ht="21.75" customHeight="1">
      <c r="A600" s="9"/>
      <c r="B600" s="2192" t="s">
        <v>1448</v>
      </c>
      <c r="C600" s="2192"/>
      <c r="D600" s="1165" t="s">
        <v>1425</v>
      </c>
      <c r="E600" s="1161"/>
      <c r="F600" s="1162"/>
      <c r="G600" s="2191" t="s">
        <v>1455</v>
      </c>
      <c r="H600" s="2191"/>
      <c r="I600" s="2191"/>
      <c r="J600" s="2191"/>
      <c r="K600" s="4">
        <v>1</v>
      </c>
      <c r="L600" s="691"/>
    </row>
    <row r="601" spans="1:12" ht="45" customHeight="1">
      <c r="A601" s="14"/>
      <c r="B601" s="2209">
        <v>42901</v>
      </c>
      <c r="C601" s="2210"/>
      <c r="D601" s="1166" t="s">
        <v>1450</v>
      </c>
      <c r="E601" s="2012" t="s">
        <v>2217</v>
      </c>
      <c r="F601" s="1155"/>
      <c r="G601" s="1164" t="s">
        <v>1451</v>
      </c>
      <c r="H601" s="2241"/>
      <c r="I601" s="2242"/>
      <c r="J601" s="2243"/>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41"/>
      <c r="I603" s="2242"/>
      <c r="J603" s="2243"/>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223" t="str">
        <f>$B$7</f>
        <v>ОТЧЕТНИ ДАННИ ПО ЕБК ЗА ИЗПЪЛНЕНИЕТО НА БЮДЖЕТА</v>
      </c>
      <c r="C608" s="2224"/>
      <c r="D608" s="2224"/>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218" t="str">
        <f>$B$9</f>
        <v>НАЦИОНАЛЕН ОСИГУРИТЕЛЕН ИНСТИТУТ</v>
      </c>
      <c r="C610" s="2219"/>
      <c r="D610" s="2220"/>
      <c r="E610" s="1096">
        <f>$E$9</f>
        <v>42736</v>
      </c>
      <c r="F610" s="1187">
        <f>$F$9</f>
        <v>42886</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46" t="s">
        <v>504</v>
      </c>
      <c r="D624" s="2232"/>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33" t="s">
        <v>507</v>
      </c>
      <c r="D627" s="2233"/>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35" t="s">
        <v>909</v>
      </c>
      <c r="D633" s="223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36" t="s">
        <v>1047</v>
      </c>
      <c r="D641" s="2237"/>
      <c r="E641" s="1546"/>
      <c r="F641" s="466">
        <f t="shared" si="127"/>
        <v>0</v>
      </c>
      <c r="G641" s="1343"/>
      <c r="H641" s="1344"/>
      <c r="I641" s="1344"/>
      <c r="J641" s="1345"/>
      <c r="K641" s="1565">
        <f t="shared" si="124"/>
      </c>
      <c r="L641" s="497"/>
    </row>
    <row r="642" spans="1:12" ht="15.75">
      <c r="A642" s="9">
        <v>15</v>
      </c>
      <c r="B642" s="1229">
        <v>1000</v>
      </c>
      <c r="C642" s="2233" t="s">
        <v>916</v>
      </c>
      <c r="D642" s="2233"/>
      <c r="E642" s="465">
        <f aca="true" t="shared" si="128" ref="E642:J642">SUM(E643:E659)</f>
        <v>40300</v>
      </c>
      <c r="F642" s="466">
        <f t="shared" si="128"/>
        <v>46531</v>
      </c>
      <c r="G642" s="578">
        <f t="shared" si="128"/>
        <v>46531</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46531</v>
      </c>
      <c r="G656" s="737">
        <v>46531</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230" t="s">
        <v>581</v>
      </c>
      <c r="D660" s="2230"/>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230" t="s">
        <v>1095</v>
      </c>
      <c r="D664" s="2230"/>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230" t="s">
        <v>935</v>
      </c>
      <c r="D670" s="2230"/>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230" t="s">
        <v>937</v>
      </c>
      <c r="D673" s="2234"/>
      <c r="E673" s="1546"/>
      <c r="F673" s="466">
        <f t="shared" si="133"/>
        <v>0</v>
      </c>
      <c r="G673" s="1343"/>
      <c r="H673" s="1344"/>
      <c r="I673" s="1344"/>
      <c r="J673" s="1345"/>
      <c r="K673" s="1565">
        <f t="shared" si="124"/>
      </c>
      <c r="L673" s="497"/>
    </row>
    <row r="674" spans="1:12" ht="15.75">
      <c r="A674" s="9">
        <v>210</v>
      </c>
      <c r="B674" s="1229">
        <v>2600</v>
      </c>
      <c r="C674" s="2231" t="s">
        <v>938</v>
      </c>
      <c r="D674" s="2232"/>
      <c r="E674" s="1546"/>
      <c r="F674" s="466">
        <f t="shared" si="133"/>
        <v>0</v>
      </c>
      <c r="G674" s="1343"/>
      <c r="H674" s="1344"/>
      <c r="I674" s="1344"/>
      <c r="J674" s="1345"/>
      <c r="K674" s="1565">
        <f t="shared" si="124"/>
      </c>
      <c r="L674" s="497"/>
    </row>
    <row r="675" spans="1:12" ht="15.75">
      <c r="A675" s="9">
        <v>215</v>
      </c>
      <c r="B675" s="1229">
        <v>2700</v>
      </c>
      <c r="C675" s="2231" t="s">
        <v>939</v>
      </c>
      <c r="D675" s="2232"/>
      <c r="E675" s="1546"/>
      <c r="F675" s="466">
        <f t="shared" si="133"/>
        <v>0</v>
      </c>
      <c r="G675" s="1343"/>
      <c r="H675" s="1344"/>
      <c r="I675" s="1344"/>
      <c r="J675" s="1345"/>
      <c r="K675" s="1565">
        <f t="shared" si="124"/>
      </c>
      <c r="L675" s="497"/>
    </row>
    <row r="676" spans="1:12" ht="15.75">
      <c r="A676" s="8">
        <v>220</v>
      </c>
      <c r="B676" s="1229">
        <v>2800</v>
      </c>
      <c r="C676" s="2231" t="s">
        <v>1762</v>
      </c>
      <c r="D676" s="2232"/>
      <c r="E676" s="1546"/>
      <c r="F676" s="466">
        <f t="shared" si="133"/>
        <v>0</v>
      </c>
      <c r="G676" s="1343"/>
      <c r="H676" s="1344"/>
      <c r="I676" s="1344"/>
      <c r="J676" s="1345"/>
      <c r="K676" s="1565">
        <f t="shared" si="124"/>
      </c>
      <c r="L676" s="497"/>
    </row>
    <row r="677" spans="1:12" ht="36" customHeight="1">
      <c r="A677" s="9">
        <v>225</v>
      </c>
      <c r="B677" s="1229">
        <v>2900</v>
      </c>
      <c r="C677" s="2230" t="s">
        <v>940</v>
      </c>
      <c r="D677" s="2230"/>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230" t="s">
        <v>951</v>
      </c>
      <c r="D693" s="2230"/>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230" t="s">
        <v>952</v>
      </c>
      <c r="D694" s="2230"/>
      <c r="E694" s="1546"/>
      <c r="F694" s="466">
        <f t="shared" si="137"/>
        <v>0</v>
      </c>
      <c r="G694" s="1343"/>
      <c r="H694" s="1344"/>
      <c r="I694" s="1344"/>
      <c r="J694" s="1345"/>
      <c r="K694" s="1565">
        <f t="shared" si="138"/>
      </c>
      <c r="L694" s="497"/>
    </row>
    <row r="695" spans="1:12" ht="15.75">
      <c r="A695" s="9">
        <v>375</v>
      </c>
      <c r="B695" s="1229">
        <v>4100</v>
      </c>
      <c r="C695" s="2230" t="s">
        <v>953</v>
      </c>
      <c r="D695" s="2230"/>
      <c r="E695" s="1546">
        <v>30093100</v>
      </c>
      <c r="F695" s="466">
        <f t="shared" si="137"/>
        <v>13155786</v>
      </c>
      <c r="G695" s="1343">
        <v>13155786</v>
      </c>
      <c r="H695" s="1344"/>
      <c r="I695" s="1344"/>
      <c r="J695" s="1345"/>
      <c r="K695" s="1565">
        <f t="shared" si="138"/>
        <v>1</v>
      </c>
      <c r="L695" s="497"/>
    </row>
    <row r="696" spans="1:12" ht="15.75">
      <c r="A696" s="9">
        <v>375</v>
      </c>
      <c r="B696" s="1229">
        <v>4200</v>
      </c>
      <c r="C696" s="2230" t="s">
        <v>954</v>
      </c>
      <c r="D696" s="2230"/>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230" t="s">
        <v>1767</v>
      </c>
      <c r="D703" s="2230"/>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230" t="s">
        <v>1764</v>
      </c>
      <c r="D707" s="2230"/>
      <c r="E707" s="1546"/>
      <c r="F707" s="466">
        <f t="shared" si="142"/>
        <v>0</v>
      </c>
      <c r="G707" s="1343"/>
      <c r="H707" s="1344"/>
      <c r="I707" s="1344"/>
      <c r="J707" s="1345"/>
      <c r="K707" s="1565">
        <f t="shared" si="138"/>
      </c>
      <c r="L707" s="497"/>
    </row>
    <row r="708" spans="1:12" ht="15.75">
      <c r="A708" s="18">
        <v>404</v>
      </c>
      <c r="B708" s="1229">
        <v>4500</v>
      </c>
      <c r="C708" s="2230" t="s">
        <v>1765</v>
      </c>
      <c r="D708" s="2230"/>
      <c r="E708" s="1546"/>
      <c r="F708" s="466">
        <f t="shared" si="142"/>
        <v>0</v>
      </c>
      <c r="G708" s="1343"/>
      <c r="H708" s="1344"/>
      <c r="I708" s="1344"/>
      <c r="J708" s="1345"/>
      <c r="K708" s="1565">
        <f t="shared" si="138"/>
      </c>
      <c r="L708" s="497"/>
    </row>
    <row r="709" spans="1:12" ht="15.75">
      <c r="A709" s="18">
        <v>404</v>
      </c>
      <c r="B709" s="1229">
        <v>4600</v>
      </c>
      <c r="C709" s="2231" t="s">
        <v>964</v>
      </c>
      <c r="D709" s="2232"/>
      <c r="E709" s="1546"/>
      <c r="F709" s="466">
        <f t="shared" si="142"/>
        <v>0</v>
      </c>
      <c r="G709" s="1343"/>
      <c r="H709" s="1344"/>
      <c r="I709" s="1344"/>
      <c r="J709" s="1345"/>
      <c r="K709" s="1565">
        <f t="shared" si="138"/>
      </c>
      <c r="L709" s="497"/>
    </row>
    <row r="710" spans="1:12" ht="15.75">
      <c r="A710" s="8">
        <v>440</v>
      </c>
      <c r="B710" s="1229">
        <v>4900</v>
      </c>
      <c r="C710" s="2230" t="s">
        <v>585</v>
      </c>
      <c r="D710" s="2230"/>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240" t="s">
        <v>965</v>
      </c>
      <c r="D713" s="2240"/>
      <c r="E713" s="1546"/>
      <c r="F713" s="466">
        <f>G713+H713+I713+J713</f>
        <v>0</v>
      </c>
      <c r="G713" s="1343"/>
      <c r="H713" s="1344"/>
      <c r="I713" s="1344"/>
      <c r="J713" s="1345"/>
      <c r="K713" s="1565">
        <f t="shared" si="138"/>
      </c>
      <c r="L713" s="497"/>
    </row>
    <row r="714" spans="1:12" ht="15.75">
      <c r="A714" s="9">
        <v>505</v>
      </c>
      <c r="B714" s="1283">
        <v>5200</v>
      </c>
      <c r="C714" s="2240" t="s">
        <v>966</v>
      </c>
      <c r="D714" s="2240"/>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240" t="s">
        <v>271</v>
      </c>
      <c r="D722" s="2240"/>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240" t="s">
        <v>982</v>
      </c>
      <c r="D725" s="2240"/>
      <c r="E725" s="1546"/>
      <c r="F725" s="466">
        <f>G725+H725+I725+J725</f>
        <v>0</v>
      </c>
      <c r="G725" s="1343"/>
      <c r="H725" s="1344"/>
      <c r="I725" s="1344"/>
      <c r="J725" s="1345"/>
      <c r="K725" s="1565">
        <f t="shared" si="138"/>
      </c>
      <c r="L725" s="497"/>
    </row>
    <row r="726" spans="1:12" ht="15.75">
      <c r="A726" s="8">
        <v>685</v>
      </c>
      <c r="B726" s="1229">
        <v>5500</v>
      </c>
      <c r="C726" s="2230" t="s">
        <v>983</v>
      </c>
      <c r="D726" s="2230"/>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227" t="s">
        <v>1350</v>
      </c>
      <c r="D731" s="2228"/>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257" t="s">
        <v>992</v>
      </c>
      <c r="D736" s="2258"/>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13202317</v>
      </c>
      <c r="G740" s="761">
        <f t="shared" si="149"/>
        <v>13202317</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223" t="str">
        <f>$B$7</f>
        <v>ОТЧЕТНИ ДАННИ ПО ЕБК ЗА ИЗПЪЛНЕНИЕТО НА БЮДЖЕТА</v>
      </c>
      <c r="C744" s="2224"/>
      <c r="D744" s="2224"/>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218" t="str">
        <f>$B$9</f>
        <v>НАЦИОНАЛЕН ОСИГУРИТЕЛЕН ИНСТИТУТ</v>
      </c>
      <c r="C746" s="2219"/>
      <c r="D746" s="2220"/>
      <c r="E746" s="1096">
        <f>$E$9</f>
        <v>42736</v>
      </c>
      <c r="F746" s="1187">
        <f>$F$9</f>
        <v>42886</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254" t="str">
        <f>$B$12</f>
        <v>Национален осигурителен институт - Учителски пенсионен фонд</v>
      </c>
      <c r="C749" s="2255"/>
      <c r="D749" s="2256"/>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C39:D39"/>
    <mergeCell ref="C186:D186"/>
    <mergeCell ref="B7:D7"/>
    <mergeCell ref="B9:D9"/>
    <mergeCell ref="B12:D12"/>
    <mergeCell ref="C22:D22"/>
    <mergeCell ref="C28:D28"/>
    <mergeCell ref="C33:D33"/>
    <mergeCell ref="C255:D255"/>
    <mergeCell ref="C297:D297"/>
    <mergeCell ref="C272:D272"/>
    <mergeCell ref="C275:D275"/>
    <mergeCell ref="H603:J603"/>
    <mergeCell ref="H601:J601"/>
    <mergeCell ref="C284:D284"/>
    <mergeCell ref="C287:D287"/>
    <mergeCell ref="C288:D288"/>
    <mergeCell ref="C276:D276"/>
    <mergeCell ref="C189:D189"/>
    <mergeCell ref="C195:D195"/>
    <mergeCell ref="B173:D173"/>
    <mergeCell ref="B175:D175"/>
    <mergeCell ref="B178:D178"/>
    <mergeCell ref="C269:D269"/>
    <mergeCell ref="C236:D236"/>
    <mergeCell ref="C237:D237"/>
    <mergeCell ref="C222:D222"/>
    <mergeCell ref="C203:D203"/>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B601:C601"/>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223">
        <f>$B$7</f>
        <v>0</v>
      </c>
      <c r="J14" s="2224"/>
      <c r="K14" s="2224"/>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218">
        <f>$B$9</f>
        <v>0</v>
      </c>
      <c r="J16" s="2219"/>
      <c r="K16" s="2220"/>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254">
        <f>$B$12</f>
        <v>0</v>
      </c>
      <c r="J19" s="2255"/>
      <c r="K19" s="2256"/>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46" t="s">
        <v>504</v>
      </c>
      <c r="K30" s="2232"/>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33" t="s">
        <v>507</v>
      </c>
      <c r="K33" s="2233"/>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35" t="s">
        <v>909</v>
      </c>
      <c r="K39" s="223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36" t="s">
        <v>1047</v>
      </c>
      <c r="K47" s="2237"/>
      <c r="L47" s="1546"/>
      <c r="M47" s="466">
        <f t="shared" si="4"/>
        <v>0</v>
      </c>
      <c r="N47" s="1343"/>
      <c r="O47" s="1344"/>
      <c r="P47" s="1344"/>
      <c r="Q47" s="1345"/>
      <c r="R47" s="1565">
        <f t="shared" si="1"/>
        <v>0</v>
      </c>
      <c r="S47" s="497"/>
    </row>
    <row r="48" spans="1:19" ht="18.75" customHeight="1">
      <c r="A48" s="29">
        <v>37</v>
      </c>
      <c r="H48" s="782"/>
      <c r="I48" s="1229">
        <v>1000</v>
      </c>
      <c r="J48" s="2233" t="s">
        <v>916</v>
      </c>
      <c r="K48" s="2233"/>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230" t="s">
        <v>581</v>
      </c>
      <c r="K66" s="223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230" t="s">
        <v>1095</v>
      </c>
      <c r="K70" s="223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230" t="s">
        <v>935</v>
      </c>
      <c r="K76" s="223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230" t="s">
        <v>937</v>
      </c>
      <c r="K79" s="2234"/>
      <c r="L79" s="1546"/>
      <c r="M79" s="466">
        <f t="shared" si="10"/>
        <v>0</v>
      </c>
      <c r="N79" s="1343"/>
      <c r="O79" s="1344"/>
      <c r="P79" s="1344"/>
      <c r="Q79" s="1345"/>
      <c r="R79" s="1565">
        <f t="shared" si="1"/>
        <v>0</v>
      </c>
      <c r="S79" s="497"/>
    </row>
    <row r="80" spans="1:19" ht="18.75" customHeight="1">
      <c r="A80" s="29">
        <v>69</v>
      </c>
      <c r="H80" s="782"/>
      <c r="I80" s="1229">
        <v>2600</v>
      </c>
      <c r="J80" s="2231" t="s">
        <v>938</v>
      </c>
      <c r="K80" s="2232"/>
      <c r="L80" s="1546"/>
      <c r="M80" s="466">
        <f t="shared" si="10"/>
        <v>0</v>
      </c>
      <c r="N80" s="1343"/>
      <c r="O80" s="1344"/>
      <c r="P80" s="1344"/>
      <c r="Q80" s="1345"/>
      <c r="R80" s="1565">
        <f t="shared" si="1"/>
        <v>0</v>
      </c>
      <c r="S80" s="497"/>
    </row>
    <row r="81" spans="1:19" ht="18.75" customHeight="1">
      <c r="A81" s="29">
        <v>70</v>
      </c>
      <c r="H81" s="782"/>
      <c r="I81" s="1229">
        <v>2700</v>
      </c>
      <c r="J81" s="2231" t="s">
        <v>939</v>
      </c>
      <c r="K81" s="2232"/>
      <c r="L81" s="1546"/>
      <c r="M81" s="466">
        <f t="shared" si="10"/>
        <v>0</v>
      </c>
      <c r="N81" s="1343"/>
      <c r="O81" s="1344"/>
      <c r="P81" s="1344"/>
      <c r="Q81" s="1345"/>
      <c r="R81" s="1565">
        <f t="shared" si="1"/>
        <v>0</v>
      </c>
      <c r="S81" s="497"/>
    </row>
    <row r="82" spans="1:19" ht="37.5" customHeight="1">
      <c r="A82" s="29">
        <v>71</v>
      </c>
      <c r="H82" s="782"/>
      <c r="I82" s="1229">
        <v>2800</v>
      </c>
      <c r="J82" s="2231" t="s">
        <v>1762</v>
      </c>
      <c r="K82" s="2232"/>
      <c r="L82" s="1546"/>
      <c r="M82" s="466">
        <f t="shared" si="10"/>
        <v>0</v>
      </c>
      <c r="N82" s="1343"/>
      <c r="O82" s="1344"/>
      <c r="P82" s="1344"/>
      <c r="Q82" s="1345"/>
      <c r="R82" s="1565">
        <f t="shared" si="1"/>
        <v>0</v>
      </c>
      <c r="S82" s="497"/>
    </row>
    <row r="83" spans="1:19" ht="19.5" customHeight="1">
      <c r="A83" s="29">
        <v>72</v>
      </c>
      <c r="H83" s="782"/>
      <c r="I83" s="1229">
        <v>2900</v>
      </c>
      <c r="J83" s="2230" t="s">
        <v>940</v>
      </c>
      <c r="K83" s="2230"/>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230" t="s">
        <v>951</v>
      </c>
      <c r="K99" s="2230"/>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230" t="s">
        <v>952</v>
      </c>
      <c r="K100" s="2230"/>
      <c r="L100" s="1546"/>
      <c r="M100" s="466">
        <f t="shared" si="14"/>
        <v>0</v>
      </c>
      <c r="N100" s="1343"/>
      <c r="O100" s="1344"/>
      <c r="P100" s="1344"/>
      <c r="Q100" s="1345"/>
      <c r="R100" s="1565">
        <f t="shared" si="15"/>
        <v>0</v>
      </c>
      <c r="S100" s="497"/>
    </row>
    <row r="101" spans="1:19" ht="18.75" customHeight="1">
      <c r="A101" s="29">
        <v>90</v>
      </c>
      <c r="H101" s="782"/>
      <c r="I101" s="1229">
        <v>4100</v>
      </c>
      <c r="J101" s="2230" t="s">
        <v>953</v>
      </c>
      <c r="K101" s="2230"/>
      <c r="L101" s="1546"/>
      <c r="M101" s="466">
        <f t="shared" si="14"/>
        <v>0</v>
      </c>
      <c r="N101" s="1343"/>
      <c r="O101" s="1344"/>
      <c r="P101" s="1344"/>
      <c r="Q101" s="1345"/>
      <c r="R101" s="1565">
        <f t="shared" si="15"/>
        <v>0</v>
      </c>
      <c r="S101" s="497"/>
    </row>
    <row r="102" spans="1:19" ht="18.75" customHeight="1">
      <c r="A102" s="29">
        <v>91</v>
      </c>
      <c r="H102" s="782"/>
      <c r="I102" s="1229">
        <v>4200</v>
      </c>
      <c r="J102" s="2230" t="s">
        <v>954</v>
      </c>
      <c r="K102" s="2230"/>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230" t="s">
        <v>1767</v>
      </c>
      <c r="K109" s="2230"/>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230" t="s">
        <v>1764</v>
      </c>
      <c r="K113" s="2230"/>
      <c r="L113" s="1546"/>
      <c r="M113" s="466">
        <f t="shared" si="19"/>
        <v>0</v>
      </c>
      <c r="N113" s="1343"/>
      <c r="O113" s="1344"/>
      <c r="P113" s="1344"/>
      <c r="Q113" s="1345"/>
      <c r="R113" s="1565">
        <f t="shared" si="15"/>
        <v>0</v>
      </c>
      <c r="S113" s="497"/>
    </row>
    <row r="114" spans="1:19" ht="18.75" customHeight="1">
      <c r="A114" s="29">
        <v>103</v>
      </c>
      <c r="H114" s="782"/>
      <c r="I114" s="1229">
        <v>4500</v>
      </c>
      <c r="J114" s="2230" t="s">
        <v>1765</v>
      </c>
      <c r="K114" s="2230"/>
      <c r="L114" s="1546"/>
      <c r="M114" s="466">
        <f t="shared" si="19"/>
        <v>0</v>
      </c>
      <c r="N114" s="1343"/>
      <c r="O114" s="1344"/>
      <c r="P114" s="1344"/>
      <c r="Q114" s="1345"/>
      <c r="R114" s="1565">
        <f t="shared" si="15"/>
        <v>0</v>
      </c>
      <c r="S114" s="497"/>
    </row>
    <row r="115" spans="1:19" ht="18.75" customHeight="1">
      <c r="A115" s="29">
        <v>104</v>
      </c>
      <c r="H115" s="782"/>
      <c r="I115" s="1229">
        <v>4600</v>
      </c>
      <c r="J115" s="2231" t="s">
        <v>964</v>
      </c>
      <c r="K115" s="2232"/>
      <c r="L115" s="1546"/>
      <c r="M115" s="466">
        <f t="shared" si="19"/>
        <v>0</v>
      </c>
      <c r="N115" s="1343"/>
      <c r="O115" s="1344"/>
      <c r="P115" s="1344"/>
      <c r="Q115" s="1345"/>
      <c r="R115" s="1565">
        <f t="shared" si="15"/>
        <v>0</v>
      </c>
      <c r="S115" s="497"/>
    </row>
    <row r="116" spans="1:19" ht="18.75" customHeight="1">
      <c r="A116" s="29">
        <v>105</v>
      </c>
      <c r="H116" s="782"/>
      <c r="I116" s="1229">
        <v>4900</v>
      </c>
      <c r="J116" s="2230" t="s">
        <v>585</v>
      </c>
      <c r="K116" s="2230"/>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240" t="s">
        <v>965</v>
      </c>
      <c r="K119" s="2240"/>
      <c r="L119" s="1546"/>
      <c r="M119" s="466">
        <f>N119+O119+P119+Q119</f>
        <v>0</v>
      </c>
      <c r="N119" s="1343"/>
      <c r="O119" s="1344"/>
      <c r="P119" s="1344"/>
      <c r="Q119" s="1345"/>
      <c r="R119" s="1565">
        <f t="shared" si="15"/>
        <v>0</v>
      </c>
      <c r="S119" s="497"/>
    </row>
    <row r="120" spans="1:19" ht="18.75" customHeight="1">
      <c r="A120" s="29">
        <v>109</v>
      </c>
      <c r="H120" s="782"/>
      <c r="I120" s="1283">
        <v>5200</v>
      </c>
      <c r="J120" s="2240" t="s">
        <v>966</v>
      </c>
      <c r="K120" s="2240"/>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240" t="s">
        <v>271</v>
      </c>
      <c r="K128" s="2240"/>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240" t="s">
        <v>982</v>
      </c>
      <c r="K131" s="2240"/>
      <c r="L131" s="1546"/>
      <c r="M131" s="466">
        <f>N131+O131+P131+Q131</f>
        <v>0</v>
      </c>
      <c r="N131" s="1343"/>
      <c r="O131" s="1344"/>
      <c r="P131" s="1344"/>
      <c r="Q131" s="1345"/>
      <c r="R131" s="1565">
        <f t="shared" si="15"/>
        <v>0</v>
      </c>
      <c r="S131" s="497"/>
    </row>
    <row r="132" spans="1:19" ht="18.75" customHeight="1">
      <c r="A132" s="29">
        <v>121</v>
      </c>
      <c r="H132" s="782"/>
      <c r="I132" s="1229">
        <v>5500</v>
      </c>
      <c r="J132" s="2230" t="s">
        <v>983</v>
      </c>
      <c r="K132" s="2230"/>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227" t="s">
        <v>1350</v>
      </c>
      <c r="K137" s="2228"/>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257" t="s">
        <v>992</v>
      </c>
      <c r="K142" s="2258"/>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223">
        <f>$B$7</f>
        <v>0</v>
      </c>
      <c r="J150" s="2224"/>
      <c r="K150" s="2224"/>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218">
        <f>$B$9</f>
        <v>0</v>
      </c>
      <c r="J152" s="2219"/>
      <c r="K152" s="2220"/>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254">
        <f>$B$12</f>
        <v>0</v>
      </c>
      <c r="J155" s="2255"/>
      <c r="K155" s="2256"/>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9" t="s">
        <v>331</v>
      </c>
      <c r="J183" s="2229"/>
      <c r="K183" s="2229"/>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2017-06-15T07:58:49Z</dcterms:modified>
  <cp:category/>
  <cp:version/>
  <cp:contentType/>
  <cp:contentStatus/>
</cp:coreProperties>
</file>